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0eae7e81ca758fd/1 Parish Council/Finance/2024-2025/"/>
    </mc:Choice>
  </mc:AlternateContent>
  <xr:revisionPtr revIDLastSave="73" documentId="8_{589E60D5-8F5B-4EB1-AED8-8A24489DD62B}" xr6:coauthVersionLast="47" xr6:coauthVersionMax="47" xr10:uidLastSave="{EEF42A47-BE61-4D6C-8C71-37B554DDB11D}"/>
  <bookViews>
    <workbookView xWindow="-120" yWindow="-120" windowWidth="19440" windowHeight="14880" tabRatio="820" firstSheet="3" activeTab="3" xr2:uid="{00000000-000D-0000-FFFF-FFFF00000000}"/>
  </bookViews>
  <sheets>
    <sheet name="2024-25 Running" sheetId="17" state="hidden" r:id="rId1"/>
    <sheet name="Hall 2024-25 Running" sheetId="21" state="hidden" r:id="rId2"/>
    <sheet name="Ear Marked Funds" sheetId="20" state="hidden" r:id="rId3"/>
    <sheet name="Cashbook" sheetId="27" r:id="rId4"/>
    <sheet name="Reserves" sheetId="26" state="hidden" r:id="rId5"/>
    <sheet name="Bank Recon" sheetId="13" state="hidden" r:id="rId6"/>
    <sheet name="Year to Date" sheetId="10" state="hidden" r:id="rId7"/>
    <sheet name="Variances" sheetId="25" state="hidden" r:id="rId8"/>
    <sheet name="Annual Return" sheetId="16" state="hidden" r:id="rId9"/>
    <sheet name="Budget 2025-26" sheetId="19" state="hidden" r:id="rId10"/>
    <sheet name="Hall Budget 2025-26" sheetId="28" state="hidden" r:id="rId11"/>
  </sheets>
  <definedNames>
    <definedName name="_xlnm._FilterDatabase" localSheetId="3" hidden="1">Cashbook!$A$1:$H$233</definedName>
    <definedName name="_xlnm._FilterDatabase" localSheetId="4" hidden="1">Reserves!$A$5:$K$9</definedName>
    <definedName name="_xlnm.Print_Area" localSheetId="0">'2024-25 Running'!$A$1:$I$57</definedName>
    <definedName name="_xlnm.Print_Area" localSheetId="5">'Bank Recon'!$A$1:$D$36</definedName>
    <definedName name="_xlnm.Print_Area" localSheetId="3">Cashbook!$A$1:$H$237</definedName>
    <definedName name="_xlnm.Print_Area" localSheetId="4">Reserves!$A$1:$K$9</definedName>
    <definedName name="_xlnm.Print_Area" localSheetId="7">Variances!$A$1:$N$33</definedName>
    <definedName name="_xlnm.Print_Area" localSheetId="6">'Year to Date'!$A$1:$D$60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8" i="27" l="1"/>
  <c r="H229" i="27"/>
  <c r="H230" i="27"/>
  <c r="H231" i="27"/>
  <c r="H232" i="27"/>
  <c r="L18" i="26"/>
  <c r="F24" i="26"/>
  <c r="E18" i="26"/>
  <c r="F18" i="26"/>
  <c r="H222" i="27"/>
  <c r="H223" i="27"/>
  <c r="H224" i="27"/>
  <c r="H225" i="27"/>
  <c r="H226" i="27"/>
  <c r="H227" i="27"/>
  <c r="H215" i="27"/>
  <c r="H216" i="27"/>
  <c r="H217" i="27"/>
  <c r="H218" i="27"/>
  <c r="H219" i="27"/>
  <c r="H220" i="27"/>
  <c r="H221" i="27"/>
  <c r="H195" i="27" l="1"/>
  <c r="H196" i="27"/>
  <c r="H197" i="27"/>
  <c r="H198" i="27"/>
  <c r="H199" i="27"/>
  <c r="H200" i="27"/>
  <c r="H201" i="27"/>
  <c r="H202" i="27"/>
  <c r="H203" i="27"/>
  <c r="H204" i="27"/>
  <c r="H205" i="27"/>
  <c r="H206" i="27"/>
  <c r="H208" i="27"/>
  <c r="H209" i="27"/>
  <c r="H210" i="27"/>
  <c r="H212" i="27"/>
  <c r="H213" i="27"/>
  <c r="H214" i="27"/>
  <c r="L39" i="17"/>
  <c r="L38" i="17"/>
  <c r="L37" i="17"/>
  <c r="L36" i="17"/>
  <c r="L35" i="17"/>
  <c r="L34" i="17"/>
  <c r="L33" i="17"/>
  <c r="L32" i="17"/>
  <c r="L31" i="17"/>
  <c r="L30" i="17"/>
  <c r="L29" i="17"/>
  <c r="L28" i="17"/>
  <c r="L27" i="17"/>
  <c r="L26" i="17"/>
  <c r="L25" i="17"/>
  <c r="L24" i="17"/>
  <c r="L23" i="17"/>
  <c r="L22" i="17"/>
  <c r="L21" i="17"/>
  <c r="L20" i="17"/>
  <c r="L19" i="17"/>
  <c r="L18" i="17"/>
  <c r="L17" i="17"/>
  <c r="L14" i="17"/>
  <c r="L13" i="17"/>
  <c r="L12" i="17"/>
  <c r="L11" i="17"/>
  <c r="L10" i="17"/>
  <c r="L9" i="17"/>
  <c r="L8" i="17"/>
  <c r="L7" i="17"/>
  <c r="L6" i="17"/>
  <c r="K48" i="21"/>
  <c r="K18" i="21"/>
  <c r="L18" i="21" s="1"/>
  <c r="L17" i="21"/>
  <c r="L16" i="21"/>
  <c r="L15" i="21"/>
  <c r="L14" i="21"/>
  <c r="L13" i="21"/>
  <c r="L10" i="21"/>
  <c r="L9" i="21"/>
  <c r="L8" i="21"/>
  <c r="L7" i="21"/>
  <c r="L6" i="21"/>
  <c r="H174" i="27" l="1"/>
  <c r="H175" i="27"/>
  <c r="H176" i="27"/>
  <c r="H177" i="27"/>
  <c r="H178" i="27"/>
  <c r="H179" i="27"/>
  <c r="H180" i="27"/>
  <c r="H181" i="27"/>
  <c r="H182" i="27"/>
  <c r="H183" i="27"/>
  <c r="H184" i="27"/>
  <c r="H185" i="27"/>
  <c r="H186" i="27"/>
  <c r="H187" i="27"/>
  <c r="H188" i="27"/>
  <c r="H189" i="27"/>
  <c r="H190" i="27"/>
  <c r="H191" i="27"/>
  <c r="H194" i="27"/>
  <c r="J38" i="19"/>
  <c r="K38" i="19"/>
  <c r="L38" i="19"/>
  <c r="I38" i="19"/>
  <c r="H38" i="19"/>
  <c r="P12" i="26"/>
  <c r="P13" i="26"/>
  <c r="J43" i="19"/>
  <c r="K43" i="19"/>
  <c r="L43" i="19" s="1"/>
  <c r="I43" i="19"/>
  <c r="F10" i="28"/>
  <c r="E10" i="28"/>
  <c r="C14" i="28"/>
  <c r="G14" i="28" s="1"/>
  <c r="C13" i="28"/>
  <c r="G13" i="28" s="1"/>
  <c r="C12" i="28"/>
  <c r="C10" i="28" s="1"/>
  <c r="C11" i="28"/>
  <c r="B14" i="28"/>
  <c r="B13" i="28"/>
  <c r="B12" i="28"/>
  <c r="B11" i="28"/>
  <c r="B10" i="28" s="1"/>
  <c r="G12" i="28"/>
  <c r="G11" i="28"/>
  <c r="G10" i="28" s="1"/>
  <c r="G7" i="28"/>
  <c r="B7" i="28"/>
  <c r="G6" i="28"/>
  <c r="B6" i="28"/>
  <c r="G5" i="28"/>
  <c r="B5" i="28"/>
  <c r="G4" i="28"/>
  <c r="B4" i="28"/>
  <c r="G3" i="28"/>
  <c r="B3" i="28"/>
  <c r="C2" i="28"/>
  <c r="F2" i="28"/>
  <c r="E2" i="28"/>
  <c r="B2" i="28" l="1"/>
  <c r="G2" i="28"/>
  <c r="H130" i="27"/>
  <c r="H131" i="27"/>
  <c r="H132" i="27"/>
  <c r="H133" i="27"/>
  <c r="H134" i="27"/>
  <c r="H135" i="27"/>
  <c r="H136" i="27"/>
  <c r="H137" i="27"/>
  <c r="H138" i="27"/>
  <c r="H139" i="27"/>
  <c r="H140" i="27"/>
  <c r="H141" i="27"/>
  <c r="H142" i="27"/>
  <c r="H143" i="27"/>
  <c r="H144" i="27"/>
  <c r="H145" i="27"/>
  <c r="H146" i="27"/>
  <c r="H147" i="27"/>
  <c r="H148" i="27"/>
  <c r="H149" i="27"/>
  <c r="H150" i="27"/>
  <c r="H151" i="27"/>
  <c r="H152" i="27"/>
  <c r="H153" i="27"/>
  <c r="H154" i="27"/>
  <c r="H155" i="27"/>
  <c r="H156" i="27"/>
  <c r="H158" i="27"/>
  <c r="H159" i="27"/>
  <c r="H160" i="27"/>
  <c r="H161" i="27"/>
  <c r="H162" i="27"/>
  <c r="H163" i="27"/>
  <c r="H164" i="27"/>
  <c r="H165" i="27"/>
  <c r="H166" i="27"/>
  <c r="H167" i="27"/>
  <c r="H168" i="27"/>
  <c r="H169" i="27"/>
  <c r="H170" i="27"/>
  <c r="H171" i="27"/>
  <c r="H172" i="27"/>
  <c r="H173" i="27"/>
  <c r="G23" i="19"/>
  <c r="G15" i="19"/>
  <c r="H129" i="27"/>
  <c r="H128" i="27"/>
  <c r="B40" i="19"/>
  <c r="B31" i="19"/>
  <c r="B42" i="19" l="1"/>
  <c r="H117" i="27"/>
  <c r="H118" i="27"/>
  <c r="H119" i="27"/>
  <c r="H120" i="27"/>
  <c r="H121" i="27"/>
  <c r="H122" i="27"/>
  <c r="H123" i="27"/>
  <c r="H124" i="27"/>
  <c r="H126" i="27"/>
  <c r="H127" i="27"/>
  <c r="P11" i="26"/>
  <c r="H116" i="27"/>
  <c r="P10" i="26"/>
  <c r="M7" i="26"/>
  <c r="M9" i="26"/>
  <c r="M16" i="26"/>
  <c r="E24" i="26"/>
  <c r="H106" i="27"/>
  <c r="H107" i="27"/>
  <c r="H108" i="27"/>
  <c r="H109" i="27"/>
  <c r="H110" i="27"/>
  <c r="H111" i="27"/>
  <c r="H112" i="27"/>
  <c r="M18" i="26" l="1"/>
  <c r="P16" i="26"/>
  <c r="H101" i="27"/>
  <c r="H102" i="27"/>
  <c r="H103" i="27"/>
  <c r="H104" i="27"/>
  <c r="H105" i="27"/>
  <c r="H113" i="27"/>
  <c r="H94" i="27"/>
  <c r="H95" i="27"/>
  <c r="H96" i="27"/>
  <c r="H97" i="27"/>
  <c r="H98" i="27"/>
  <c r="H99" i="27"/>
  <c r="H100" i="27"/>
  <c r="H93" i="27" l="1"/>
  <c r="C11" i="16"/>
  <c r="I11" i="17"/>
  <c r="I37" i="17"/>
  <c r="H79" i="27"/>
  <c r="E20" i="26" l="1"/>
  <c r="P8" i="26"/>
  <c r="P9" i="26"/>
  <c r="P6" i="26"/>
  <c r="G4" i="26"/>
  <c r="G6" i="26" s="1"/>
  <c r="G7" i="26" s="1"/>
  <c r="G8" i="26" s="1"/>
  <c r="G9" i="26" s="1"/>
  <c r="G10" i="26" s="1"/>
  <c r="G11" i="26" s="1"/>
  <c r="G12" i="26" s="1"/>
  <c r="G13" i="26" s="1"/>
  <c r="G14" i="26" s="1"/>
  <c r="G15" i="26" s="1"/>
  <c r="G16" i="26" s="1"/>
  <c r="G17" i="26" s="1"/>
  <c r="G18" i="26" s="1"/>
  <c r="H8" i="27"/>
  <c r="H13" i="27"/>
  <c r="H12" i="27"/>
  <c r="H11" i="27"/>
  <c r="H14" i="27"/>
  <c r="H10" i="27"/>
  <c r="H18" i="27"/>
  <c r="H17" i="27"/>
  <c r="H16" i="27"/>
  <c r="H19" i="27"/>
  <c r="H23" i="27"/>
  <c r="H28" i="27"/>
  <c r="H29" i="27"/>
  <c r="H32" i="27"/>
  <c r="H30" i="27"/>
  <c r="H27" i="27"/>
  <c r="H31" i="27"/>
  <c r="H37" i="27"/>
  <c r="H33" i="27"/>
  <c r="H24" i="27"/>
  <c r="H26" i="27"/>
  <c r="H39" i="27"/>
  <c r="H38" i="27"/>
  <c r="H46" i="27"/>
  <c r="H47" i="27"/>
  <c r="H45" i="27"/>
  <c r="H44" i="27"/>
  <c r="H50" i="27"/>
  <c r="H52" i="27"/>
  <c r="H53" i="27"/>
  <c r="H56" i="27"/>
  <c r="H61" i="27"/>
  <c r="H60" i="27"/>
  <c r="H70" i="27"/>
  <c r="H68" i="27"/>
  <c r="H69" i="27"/>
  <c r="H73" i="27"/>
  <c r="H71" i="27"/>
  <c r="H72" i="27"/>
  <c r="H67" i="27"/>
  <c r="H66" i="27"/>
  <c r="H75" i="27"/>
  <c r="H81" i="27"/>
  <c r="H80" i="27"/>
  <c r="H82" i="27"/>
  <c r="H83" i="27"/>
  <c r="H85" i="27"/>
  <c r="H84" i="27"/>
  <c r="H86" i="27"/>
  <c r="H88" i="27"/>
  <c r="H89" i="27"/>
  <c r="H90" i="27"/>
  <c r="H91" i="27"/>
  <c r="H92" i="27"/>
  <c r="D6" i="16"/>
  <c r="H6" i="27"/>
  <c r="O18" i="26"/>
  <c r="O20" i="26" s="1"/>
  <c r="I12" i="17" s="1"/>
  <c r="I18" i="26"/>
  <c r="I20" i="26" s="1"/>
  <c r="H18" i="26"/>
  <c r="H20" i="26" s="1"/>
  <c r="P7" i="26"/>
  <c r="C9" i="16"/>
  <c r="F20" i="26" l="1"/>
  <c r="D31" i="13"/>
  <c r="D29" i="13"/>
  <c r="D30" i="13"/>
  <c r="D28" i="13"/>
  <c r="I7" i="17"/>
  <c r="I32" i="17"/>
  <c r="I14" i="21"/>
  <c r="D4" i="28" s="1"/>
  <c r="I15" i="21"/>
  <c r="D5" i="28" s="1"/>
  <c r="I20" i="17"/>
  <c r="I6" i="21"/>
  <c r="D11" i="28" s="1"/>
  <c r="I16" i="21"/>
  <c r="D6" i="28" s="1"/>
  <c r="I36" i="17"/>
  <c r="I24" i="17"/>
  <c r="I13" i="21"/>
  <c r="D3" i="28" s="1"/>
  <c r="I17" i="21"/>
  <c r="D7" i="28" s="1"/>
  <c r="I28" i="17"/>
  <c r="I6" i="17"/>
  <c r="I8" i="17"/>
  <c r="I17" i="17"/>
  <c r="I21" i="17"/>
  <c r="I25" i="17"/>
  <c r="I29" i="17"/>
  <c r="I33" i="17"/>
  <c r="I7" i="21"/>
  <c r="D12" i="28" s="1"/>
  <c r="I10" i="17"/>
  <c r="I18" i="17"/>
  <c r="I22" i="17"/>
  <c r="I26" i="17"/>
  <c r="I30" i="17"/>
  <c r="I34" i="17"/>
  <c r="I38" i="17"/>
  <c r="I8" i="21"/>
  <c r="D13" i="28" s="1"/>
  <c r="I13" i="17"/>
  <c r="I19" i="17"/>
  <c r="I23" i="17"/>
  <c r="I27" i="17"/>
  <c r="I31" i="17"/>
  <c r="I35" i="17"/>
  <c r="I39" i="17"/>
  <c r="I9" i="21"/>
  <c r="D14" i="28" s="1"/>
  <c r="P20" i="26"/>
  <c r="P22" i="26" s="1"/>
  <c r="D7" i="16" s="1"/>
  <c r="P18" i="26"/>
  <c r="XCM233" i="27"/>
  <c r="D2" i="28" l="1"/>
  <c r="D10" i="28"/>
  <c r="F21" i="25"/>
  <c r="D10" i="16"/>
  <c r="F17" i="25"/>
  <c r="D8" i="16"/>
  <c r="D33" i="13"/>
  <c r="F15" i="25" l="1"/>
  <c r="J11" i="17" l="1"/>
  <c r="J37" i="17" l="1"/>
  <c r="D23" i="25"/>
  <c r="M11" i="25" s="1"/>
  <c r="J29" i="25"/>
  <c r="I29" i="25"/>
  <c r="H29" i="25"/>
  <c r="G29" i="25"/>
  <c r="J27" i="25"/>
  <c r="I27" i="25"/>
  <c r="H27" i="25"/>
  <c r="G27" i="25"/>
  <c r="J19" i="25"/>
  <c r="I19" i="25"/>
  <c r="H19" i="25"/>
  <c r="K19" i="25" s="1"/>
  <c r="G19" i="25"/>
  <c r="H44" i="19"/>
  <c r="L27" i="25" l="1"/>
  <c r="M27" i="25" s="1"/>
  <c r="L29" i="25"/>
  <c r="M29" i="25" s="1"/>
  <c r="L19" i="25"/>
  <c r="M19" i="25" s="1"/>
  <c r="K29" i="25"/>
  <c r="K27" i="25"/>
  <c r="C13" i="10" l="1"/>
  <c r="D13" i="10"/>
  <c r="C14" i="10"/>
  <c r="D14" i="10"/>
  <c r="C15" i="10"/>
  <c r="D15" i="10"/>
  <c r="C16" i="10"/>
  <c r="D16" i="10"/>
  <c r="C42" i="10"/>
  <c r="D42" i="10"/>
  <c r="C43" i="10"/>
  <c r="D43" i="10"/>
  <c r="C44" i="10"/>
  <c r="D44" i="10"/>
  <c r="C45" i="10"/>
  <c r="D45" i="10"/>
  <c r="C46" i="10"/>
  <c r="D46" i="10"/>
  <c r="J8" i="21"/>
  <c r="J7" i="21"/>
  <c r="B57" i="10"/>
  <c r="I4" i="21"/>
  <c r="B2" i="20"/>
  <c r="M9" i="19"/>
  <c r="Q9" i="19" s="1"/>
  <c r="M4" i="19"/>
  <c r="M5" i="19"/>
  <c r="M6" i="19"/>
  <c r="M7" i="19"/>
  <c r="M8" i="19"/>
  <c r="Q8" i="19" s="1"/>
  <c r="M3" i="19"/>
  <c r="G35" i="19" s="1"/>
  <c r="G44" i="19" s="1"/>
  <c r="H47" i="19" s="1"/>
  <c r="H48" i="19" s="1"/>
  <c r="L4" i="19"/>
  <c r="L5" i="19"/>
  <c r="L6" i="19"/>
  <c r="L7" i="19"/>
  <c r="L8" i="19"/>
  <c r="L9" i="19"/>
  <c r="B4" i="19"/>
  <c r="B5" i="19"/>
  <c r="B6" i="19"/>
  <c r="B7" i="19"/>
  <c r="B8" i="19"/>
  <c r="B9" i="19"/>
  <c r="B10" i="19"/>
  <c r="B11" i="19"/>
  <c r="B12" i="19"/>
  <c r="B13" i="19"/>
  <c r="B14" i="19"/>
  <c r="B16" i="19"/>
  <c r="B17" i="19"/>
  <c r="B18" i="19"/>
  <c r="B19" i="19"/>
  <c r="B20" i="19"/>
  <c r="B21" i="19"/>
  <c r="B22" i="19"/>
  <c r="B24" i="19"/>
  <c r="B25" i="19"/>
  <c r="B26" i="19"/>
  <c r="D21" i="10"/>
  <c r="D22" i="10"/>
  <c r="D23" i="10"/>
  <c r="D24" i="10"/>
  <c r="D25" i="10"/>
  <c r="D26" i="10"/>
  <c r="D27" i="10"/>
  <c r="D28" i="10"/>
  <c r="D29" i="10"/>
  <c r="D30" i="10"/>
  <c r="D31" i="10"/>
  <c r="D32" i="10"/>
  <c r="D33" i="10"/>
  <c r="D34" i="10"/>
  <c r="D35" i="10"/>
  <c r="D36" i="10"/>
  <c r="D37" i="10"/>
  <c r="D38" i="10"/>
  <c r="D39" i="10"/>
  <c r="D40" i="10"/>
  <c r="D41" i="10"/>
  <c r="D20" i="10"/>
  <c r="C41" i="10"/>
  <c r="C40" i="10"/>
  <c r="C39" i="10"/>
  <c r="C38" i="10"/>
  <c r="C37" i="10"/>
  <c r="C36" i="10"/>
  <c r="C35" i="10"/>
  <c r="C34" i="10"/>
  <c r="C33" i="10"/>
  <c r="C32" i="10"/>
  <c r="C31" i="10"/>
  <c r="C30" i="10"/>
  <c r="C29" i="10"/>
  <c r="C28" i="10"/>
  <c r="C27" i="10"/>
  <c r="C26" i="10"/>
  <c r="C25" i="10"/>
  <c r="C24" i="10"/>
  <c r="C23" i="10"/>
  <c r="C22" i="10"/>
  <c r="C21" i="10"/>
  <c r="C20" i="10"/>
  <c r="D12" i="10"/>
  <c r="D11" i="10"/>
  <c r="D10" i="10"/>
  <c r="D9" i="10"/>
  <c r="D8" i="10"/>
  <c r="D7" i="10"/>
  <c r="D6" i="10"/>
  <c r="C12" i="10"/>
  <c r="C11" i="10"/>
  <c r="C10" i="10"/>
  <c r="C9" i="10"/>
  <c r="C8" i="10"/>
  <c r="C7" i="10"/>
  <c r="C6" i="10"/>
  <c r="B14" i="10" l="1"/>
  <c r="B15" i="10"/>
  <c r="B46" i="10"/>
  <c r="J17" i="21"/>
  <c r="M2" i="19"/>
  <c r="C17" i="10"/>
  <c r="J9" i="21" l="1"/>
  <c r="B16" i="10"/>
  <c r="J6" i="21"/>
  <c r="B13" i="10"/>
  <c r="J14" i="21"/>
  <c r="B43" i="10"/>
  <c r="B45" i="10"/>
  <c r="J16" i="21"/>
  <c r="B44" i="10"/>
  <c r="J15" i="21"/>
  <c r="B42" i="10"/>
  <c r="J13" i="21"/>
  <c r="J24" i="17"/>
  <c r="B1" i="20"/>
  <c r="E24" i="20" s="1"/>
  <c r="B21" i="20"/>
  <c r="C18" i="20"/>
  <c r="C19" i="20"/>
  <c r="C20" i="20"/>
  <c r="E18" i="21"/>
  <c r="E21" i="21" s="1"/>
  <c r="A18" i="21"/>
  <c r="A21" i="21" s="1"/>
  <c r="E10" i="21"/>
  <c r="E20" i="21" s="1"/>
  <c r="A10" i="21"/>
  <c r="A20" i="21" s="1"/>
  <c r="B27" i="10" l="1"/>
  <c r="D10" i="19"/>
  <c r="E22" i="21"/>
  <c r="A22" i="21"/>
  <c r="C16" i="20"/>
  <c r="I18" i="21" l="1"/>
  <c r="I10" i="21"/>
  <c r="P2" i="19"/>
  <c r="H32" i="19" s="1"/>
  <c r="B26" i="20" l="1"/>
  <c r="J10" i="21"/>
  <c r="B25" i="20"/>
  <c r="J18" i="21"/>
  <c r="I21" i="21"/>
  <c r="I20" i="21"/>
  <c r="I46" i="17"/>
  <c r="I4" i="17"/>
  <c r="B33" i="13"/>
  <c r="B20" i="13"/>
  <c r="I22" i="21" l="1"/>
  <c r="C17" i="20"/>
  <c r="C21" i="20" s="1"/>
  <c r="B27" i="20"/>
  <c r="I35" i="19"/>
  <c r="I44" i="19" s="1"/>
  <c r="I47" i="19" s="1"/>
  <c r="I48" i="19" s="1"/>
  <c r="J35" i="19" l="1"/>
  <c r="J44" i="19" s="1"/>
  <c r="J47" i="19" s="1"/>
  <c r="J48" i="19" s="1"/>
  <c r="G25" i="19"/>
  <c r="B13" i="20"/>
  <c r="C12" i="20"/>
  <c r="C11" i="20"/>
  <c r="B9" i="20"/>
  <c r="B22" i="20" s="1"/>
  <c r="C8" i="20"/>
  <c r="C7" i="20"/>
  <c r="B14" i="20" l="1"/>
  <c r="K35" i="19"/>
  <c r="K44" i="19" s="1"/>
  <c r="K47" i="19" s="1"/>
  <c r="K48" i="19" s="1"/>
  <c r="C13" i="20"/>
  <c r="C9" i="20"/>
  <c r="C22" i="20" l="1"/>
  <c r="C14" i="20"/>
  <c r="L35" i="19"/>
  <c r="L44" i="19" s="1"/>
  <c r="L47" i="19" s="1"/>
  <c r="L48" i="19" s="1"/>
  <c r="O2" i="19"/>
  <c r="Q7" i="19"/>
  <c r="Q6" i="19"/>
  <c r="Q5" i="19"/>
  <c r="Q4" i="19"/>
  <c r="K37" i="19"/>
  <c r="L3" i="19"/>
  <c r="F35" i="19" s="1"/>
  <c r="E2" i="19"/>
  <c r="G26" i="19"/>
  <c r="G24" i="19"/>
  <c r="G22" i="19"/>
  <c r="G21" i="19"/>
  <c r="G20" i="19"/>
  <c r="G19" i="19"/>
  <c r="G18" i="19"/>
  <c r="G17" i="19"/>
  <c r="G16" i="19"/>
  <c r="G14" i="19"/>
  <c r="G13" i="19"/>
  <c r="G11" i="19"/>
  <c r="G10" i="19"/>
  <c r="G9" i="19"/>
  <c r="G8" i="19"/>
  <c r="G7" i="19"/>
  <c r="G6" i="19"/>
  <c r="C5" i="19"/>
  <c r="G5" i="19" s="1"/>
  <c r="C4" i="19"/>
  <c r="G4" i="19" s="1"/>
  <c r="C3" i="19"/>
  <c r="G3" i="19" s="1"/>
  <c r="B3" i="19"/>
  <c r="I49" i="17" l="1"/>
  <c r="I48" i="17" s="1"/>
  <c r="J48" i="17" s="1"/>
  <c r="K48" i="17" s="1"/>
  <c r="E25" i="20"/>
  <c r="F44" i="19"/>
  <c r="G38" i="19"/>
  <c r="I37" i="19"/>
  <c r="J37" i="19"/>
  <c r="L37" i="19"/>
  <c r="L45" i="19"/>
  <c r="B2" i="19"/>
  <c r="F31" i="19" s="1"/>
  <c r="L2" i="19"/>
  <c r="F32" i="19" s="1"/>
  <c r="Q3" i="19"/>
  <c r="Q2" i="19" s="1"/>
  <c r="C2" i="19"/>
  <c r="G45" i="19" l="1"/>
  <c r="H45" i="19"/>
  <c r="I45" i="19"/>
  <c r="J45" i="19"/>
  <c r="K45" i="19"/>
  <c r="I47" i="17"/>
  <c r="E14" i="17"/>
  <c r="D47" i="10"/>
  <c r="C47" i="10"/>
  <c r="D17" i="10"/>
  <c r="A40" i="17"/>
  <c r="A14" i="17"/>
  <c r="E40" i="17"/>
  <c r="L40" i="17" s="1"/>
  <c r="B41" i="10" l="1"/>
  <c r="D26" i="19"/>
  <c r="D7" i="19"/>
  <c r="B24" i="10"/>
  <c r="B20" i="10"/>
  <c r="D27" i="13"/>
  <c r="D12" i="13"/>
  <c r="A57" i="17"/>
  <c r="I57" i="17"/>
  <c r="A47" i="17" l="1"/>
  <c r="A52" i="17" s="1"/>
  <c r="B25" i="10"/>
  <c r="D8" i="19"/>
  <c r="B34" i="10"/>
  <c r="D18" i="19"/>
  <c r="D11" i="19"/>
  <c r="B28" i="10"/>
  <c r="B22" i="10"/>
  <c r="D5" i="19"/>
  <c r="D14" i="19"/>
  <c r="B31" i="10"/>
  <c r="D24" i="19"/>
  <c r="B39" i="10"/>
  <c r="D16" i="19"/>
  <c r="B32" i="10"/>
  <c r="B33" i="10"/>
  <c r="D17" i="19"/>
  <c r="B21" i="10"/>
  <c r="D4" i="19"/>
  <c r="B30" i="10"/>
  <c r="D13" i="19"/>
  <c r="B38" i="10"/>
  <c r="D22" i="19"/>
  <c r="D20" i="19"/>
  <c r="B36" i="10"/>
  <c r="B26" i="10"/>
  <c r="D9" i="19"/>
  <c r="B35" i="10"/>
  <c r="D19" i="19"/>
  <c r="D6" i="19"/>
  <c r="B23" i="10"/>
  <c r="B40" i="10"/>
  <c r="D12" i="19"/>
  <c r="B29" i="10"/>
  <c r="D21" i="19"/>
  <c r="B37" i="10"/>
  <c r="D5" i="16"/>
  <c r="D11" i="16" s="1"/>
  <c r="B49" i="10"/>
  <c r="A42" i="17"/>
  <c r="E42" i="17"/>
  <c r="A43" i="17"/>
  <c r="E43" i="17"/>
  <c r="I52" i="17"/>
  <c r="H17" i="25" l="1"/>
  <c r="N8" i="19"/>
  <c r="B11" i="10"/>
  <c r="J39" i="17"/>
  <c r="J22" i="17"/>
  <c r="J32" i="17"/>
  <c r="J25" i="17"/>
  <c r="J27" i="17"/>
  <c r="J35" i="17"/>
  <c r="J31" i="17"/>
  <c r="J23" i="17"/>
  <c r="J36" i="17"/>
  <c r="J26" i="17"/>
  <c r="J29" i="17"/>
  <c r="J28" i="17"/>
  <c r="J30" i="17"/>
  <c r="J33" i="17"/>
  <c r="J34" i="17"/>
  <c r="J20" i="17"/>
  <c r="J19" i="17"/>
  <c r="J38" i="17"/>
  <c r="J21" i="17"/>
  <c r="J18" i="17"/>
  <c r="J17" i="17"/>
  <c r="D3" i="19"/>
  <c r="J12" i="17"/>
  <c r="I40" i="17"/>
  <c r="E44" i="17"/>
  <c r="A44" i="17"/>
  <c r="G17" i="25" l="1"/>
  <c r="L17" i="25" s="1"/>
  <c r="J17" i="25"/>
  <c r="I17" i="25"/>
  <c r="K17" i="25"/>
  <c r="H21" i="25"/>
  <c r="J21" i="25"/>
  <c r="I21" i="25"/>
  <c r="G21" i="25"/>
  <c r="D2" i="19"/>
  <c r="G31" i="19" s="1"/>
  <c r="I43" i="17"/>
  <c r="J40" i="17"/>
  <c r="M17" i="25" l="1"/>
  <c r="L21" i="25"/>
  <c r="M21" i="25" s="1"/>
  <c r="K21" i="25"/>
  <c r="N6" i="19" l="1"/>
  <c r="B9" i="10"/>
  <c r="J9" i="17"/>
  <c r="N5" i="19" l="1"/>
  <c r="B8" i="10"/>
  <c r="J7" i="17"/>
  <c r="B7" i="10"/>
  <c r="J8" i="17"/>
  <c r="F13" i="25"/>
  <c r="B6" i="10"/>
  <c r="N4" i="19"/>
  <c r="J13" i="25" l="1"/>
  <c r="G13" i="25"/>
  <c r="H13" i="25"/>
  <c r="I13" i="25"/>
  <c r="B12" i="10" l="1"/>
  <c r="K13" i="25"/>
  <c r="L13" i="25"/>
  <c r="M13" i="25" s="1"/>
  <c r="N9" i="19"/>
  <c r="J13" i="17"/>
  <c r="D18" i="13"/>
  <c r="D60" i="10" l="1"/>
  <c r="D53" i="10"/>
  <c r="D52" i="10"/>
  <c r="B58" i="10"/>
  <c r="D20" i="13"/>
  <c r="B59" i="10"/>
  <c r="B10" i="10" l="1"/>
  <c r="B60" i="10"/>
  <c r="N7" i="19"/>
  <c r="B47" i="10"/>
  <c r="D54" i="10"/>
  <c r="J10" i="17" l="1"/>
  <c r="N3" i="19"/>
  <c r="J6" i="17"/>
  <c r="I14" i="17"/>
  <c r="I42" i="17" s="1"/>
  <c r="I44" i="17" s="1"/>
  <c r="D12" i="16"/>
  <c r="B17" i="10"/>
  <c r="B52" i="10" s="1"/>
  <c r="D36" i="13"/>
  <c r="B53" i="10"/>
  <c r="G15" i="25" l="1"/>
  <c r="I15" i="25"/>
  <c r="J15" i="25"/>
  <c r="H15" i="25"/>
  <c r="F23" i="25"/>
  <c r="F25" i="25" s="1"/>
  <c r="N2" i="19"/>
  <c r="G32" i="19" s="1"/>
  <c r="B54" i="10"/>
  <c r="B62" i="10" s="1"/>
  <c r="G12" i="19"/>
  <c r="G2" i="19" s="1"/>
  <c r="F2" i="19"/>
  <c r="H31" i="19" s="1"/>
  <c r="L15" i="25" l="1"/>
  <c r="M15" i="25" s="1"/>
  <c r="K15" i="25"/>
</calcChain>
</file>

<file path=xl/sharedStrings.xml><?xml version="1.0" encoding="utf-8"?>
<sst xmlns="http://schemas.openxmlformats.org/spreadsheetml/2006/main" count="1217" uniqueCount="660">
  <si>
    <t>Date</t>
  </si>
  <si>
    <t>Invoice No.</t>
  </si>
  <si>
    <t>Gross</t>
  </si>
  <si>
    <t>VAT</t>
  </si>
  <si>
    <t>Net</t>
  </si>
  <si>
    <t>Precept</t>
  </si>
  <si>
    <t>Interest</t>
  </si>
  <si>
    <t>Invoice</t>
  </si>
  <si>
    <t>Year End Totals</t>
  </si>
  <si>
    <t>Annual Return</t>
  </si>
  <si>
    <t>PAYMENTS</t>
  </si>
  <si>
    <t>Supplier</t>
  </si>
  <si>
    <t>Description</t>
  </si>
  <si>
    <t>Clerk Salary</t>
  </si>
  <si>
    <t>Subscriptions</t>
  </si>
  <si>
    <t>Insurance</t>
  </si>
  <si>
    <t>Less: Unpresented</t>
  </si>
  <si>
    <t>Payments</t>
  </si>
  <si>
    <t>Cashbook</t>
  </si>
  <si>
    <t>Budget</t>
  </si>
  <si>
    <t>Income</t>
  </si>
  <si>
    <t>Total</t>
  </si>
  <si>
    <t xml:space="preserve">Expenditure </t>
  </si>
  <si>
    <t>Expenditure</t>
  </si>
  <si>
    <t>Balance c/f</t>
  </si>
  <si>
    <t>Represented by</t>
  </si>
  <si>
    <t>Current Account</t>
  </si>
  <si>
    <t>Unpresented Cheques</t>
  </si>
  <si>
    <t>Difference</t>
  </si>
  <si>
    <t>Year Ending</t>
  </si>
  <si>
    <t>£</t>
  </si>
  <si>
    <t>Balances Bfwd</t>
  </si>
  <si>
    <t>+ Annual Precept</t>
  </si>
  <si>
    <t>+ Total Other Receipts</t>
  </si>
  <si>
    <t>- Staff Costs</t>
  </si>
  <si>
    <t>- Loan Interest/Capital Repayments</t>
  </si>
  <si>
    <t>- All Other Payments</t>
  </si>
  <si>
    <t>= Balances Carried forward</t>
  </si>
  <si>
    <t>Total Cash &amp; Short Term Investments</t>
  </si>
  <si>
    <t>Total Fixed Assets plus other long term investments and assets</t>
  </si>
  <si>
    <t>Total Borrowings</t>
  </si>
  <si>
    <t>Barclays Current Account</t>
  </si>
  <si>
    <t>Prepared by: Charlotte Rust, Responsible Financial Officer</t>
  </si>
  <si>
    <t>Clerk Household Expense</t>
  </si>
  <si>
    <t>Dog Bins</t>
  </si>
  <si>
    <t>Misc</t>
  </si>
  <si>
    <t>TOTAL GRANTS</t>
  </si>
  <si>
    <t>2023-24</t>
  </si>
  <si>
    <t>GRANTS AND DONATIONS MADE</t>
  </si>
  <si>
    <t>Balance</t>
  </si>
  <si>
    <t>End of Year Reserve</t>
  </si>
  <si>
    <t>Plus undeposited receipts</t>
  </si>
  <si>
    <t>Uncleared cheque receipts</t>
  </si>
  <si>
    <t>Less unpresented cheques</t>
  </si>
  <si>
    <t>Uncleared cheque payments</t>
  </si>
  <si>
    <t>BANK BALANCE AT</t>
  </si>
  <si>
    <r>
      <t>BUDGET REMAINING</t>
    </r>
    <r>
      <rPr>
        <sz val="12"/>
        <color indexed="8"/>
        <rFont val="Calibri"/>
        <family val="2"/>
      </rPr>
      <t>→</t>
    </r>
  </si>
  <si>
    <r>
      <t>IN-YEAR SURPLUS/</t>
    </r>
    <r>
      <rPr>
        <b/>
        <sz val="12"/>
        <color indexed="10"/>
        <rFont val="Calibri"/>
        <family val="2"/>
      </rPr>
      <t>DEFICIT</t>
    </r>
  </si>
  <si>
    <r>
      <t>BUDGET SPENT SO FAR</t>
    </r>
    <r>
      <rPr>
        <sz val="12"/>
        <color indexed="8"/>
        <rFont val="Calibri"/>
        <family val="2"/>
      </rPr>
      <t>→</t>
    </r>
  </si>
  <si>
    <t>Total Expenditure</t>
  </si>
  <si>
    <t>TOTAL INCOME SO FAR→</t>
  </si>
  <si>
    <t>Total Income</t>
  </si>
  <si>
    <t>TOTAL EXPENDITURE</t>
  </si>
  <si>
    <t>Section 137</t>
  </si>
  <si>
    <t>External Audit</t>
  </si>
  <si>
    <t>Internal Audit</t>
  </si>
  <si>
    <t>Clerk Travelling Expense</t>
  </si>
  <si>
    <t xml:space="preserve">    £</t>
  </si>
  <si>
    <t>EXPLANATORY NOTES</t>
  </si>
  <si>
    <t>EXPENDITURE</t>
  </si>
  <si>
    <t>TOTAL INCOME</t>
  </si>
  <si>
    <t>INCOME</t>
  </si>
  <si>
    <t>RECEIPTS/ SPEND TO</t>
  </si>
  <si>
    <t>BUDGET YEAR END</t>
  </si>
  <si>
    <t>INCOME AND EXPENDITURE</t>
  </si>
  <si>
    <t>2023/24</t>
  </si>
  <si>
    <t>King's Coronation Grant</t>
  </si>
  <si>
    <t>Bank Reconciliation - General Account</t>
  </si>
  <si>
    <t>BALANCE TOTAL</t>
  </si>
  <si>
    <t>HMRC</t>
  </si>
  <si>
    <t>Reconciled to Bank Statement</t>
  </si>
  <si>
    <t>Actual TOTAL</t>
  </si>
  <si>
    <t>RESERVES</t>
  </si>
  <si>
    <t>Ear Marked Reserves</t>
  </si>
  <si>
    <t>General Reserve</t>
  </si>
  <si>
    <t>+/- 
Budget compared to Previous Year</t>
  </si>
  <si>
    <t>Take From Reserves</t>
  </si>
  <si>
    <t>NOTES:</t>
  </si>
  <si>
    <t>TOTAL PAYMENTS</t>
  </si>
  <si>
    <t>Defibrillators</t>
  </si>
  <si>
    <t>TOTAL RECEIPTS</t>
  </si>
  <si>
    <t>PRECEPT REQUIRED</t>
  </si>
  <si>
    <t>Total Payments</t>
  </si>
  <si>
    <t>Total Receipts (excluding Precept)</t>
  </si>
  <si>
    <t>Taken from Reserves</t>
  </si>
  <si>
    <t>£ Increase/Decrease</t>
  </si>
  <si>
    <t>% Increase/Decrease</t>
  </si>
  <si>
    <t>BAND D CHARGE ON COUNCIL TAX BILL</t>
  </si>
  <si>
    <t>Tax Base</t>
  </si>
  <si>
    <t>Band D Charge</t>
  </si>
  <si>
    <t>Actual % Increase/Decrease</t>
  </si>
  <si>
    <t>Notes</t>
  </si>
  <si>
    <t>Bank Balance</t>
  </si>
  <si>
    <t>Remaining balance</t>
  </si>
  <si>
    <t xml:space="preserve">Amount </t>
  </si>
  <si>
    <t>Use of funds</t>
  </si>
  <si>
    <t>Payment ref</t>
  </si>
  <si>
    <t>Working Balance</t>
  </si>
  <si>
    <t>Cash Flow</t>
  </si>
  <si>
    <t>VAT Claim</t>
  </si>
  <si>
    <t>SUB-TOTAL</t>
  </si>
  <si>
    <t>Contingency</t>
  </si>
  <si>
    <t>PC Assets</t>
  </si>
  <si>
    <t>Unexpected costs</t>
  </si>
  <si>
    <t>TOTAL</t>
  </si>
  <si>
    <t>Ear Marked</t>
  </si>
  <si>
    <t>CASH FLOW MIN</t>
  </si>
  <si>
    <t>Contigency</t>
  </si>
  <si>
    <t>Impact on Tax per £1000 per tax base</t>
  </si>
  <si>
    <t>TOTAL PRECEPT REQUIRED</t>
  </si>
  <si>
    <t xml:space="preserve">Balance per bank statements as at </t>
  </si>
  <si>
    <t xml:space="preserve">Net balances at </t>
  </si>
  <si>
    <t>Closing Balance</t>
  </si>
  <si>
    <t>Reserves</t>
  </si>
  <si>
    <t>Clean Up and Bloom</t>
  </si>
  <si>
    <t>Grants</t>
  </si>
  <si>
    <t>Surlingham Parish Council</t>
  </si>
  <si>
    <t>Surlingham Parish Council - Hall</t>
  </si>
  <si>
    <t>Hall Hire - Regular</t>
  </si>
  <si>
    <t>Hall Hire - School</t>
  </si>
  <si>
    <t>Hall Hire - One off</t>
  </si>
  <si>
    <t>SP School - Electricity</t>
  </si>
  <si>
    <t>Booking Clerk Salary</t>
  </si>
  <si>
    <t>SSE - Electricity</t>
  </si>
  <si>
    <t>Hall Cleaning Materials</t>
  </si>
  <si>
    <t>Hall Maintenance</t>
  </si>
  <si>
    <t>Water</t>
  </si>
  <si>
    <t>Staithe Maintenance</t>
  </si>
  <si>
    <t>Hall Hire Regular</t>
  </si>
  <si>
    <t>Hall Hire Private</t>
  </si>
  <si>
    <t>Hall Hire School</t>
  </si>
  <si>
    <t>2024/25</t>
  </si>
  <si>
    <t>J Atkins</t>
  </si>
  <si>
    <t>Parish Hall</t>
  </si>
  <si>
    <t xml:space="preserve">Staithe </t>
  </si>
  <si>
    <t>Parish Hall *</t>
  </si>
  <si>
    <t>Running costs</t>
  </si>
  <si>
    <t>Payroll</t>
  </si>
  <si>
    <t>Defibrillator</t>
  </si>
  <si>
    <t>Playground</t>
  </si>
  <si>
    <t>Stationery/Post</t>
  </si>
  <si>
    <t>Waste Disposal</t>
  </si>
  <si>
    <t>Parish Newsletter</t>
  </si>
  <si>
    <t>Grounds Maintenance</t>
  </si>
  <si>
    <t>Training/Publications</t>
  </si>
  <si>
    <t>Pond Maintenance</t>
  </si>
  <si>
    <t>Training/publications</t>
  </si>
  <si>
    <t>Microsoft/Norton</t>
  </si>
  <si>
    <t>Financial year ending 31 March 2025</t>
  </si>
  <si>
    <t>Opening balance at 1 April 2024 - General Account</t>
  </si>
  <si>
    <t>Opening balance at 1 April 2024 - Reserves</t>
  </si>
  <si>
    <t>Accounts for year ending 31st March 2025</t>
  </si>
  <si>
    <t>SURLINGHAM PARISH COUNCIL ANNUAL RETURN 2024/2025</t>
  </si>
  <si>
    <t>ACTUAL
2023/24</t>
  </si>
  <si>
    <t>BUDGET 
2024/25</t>
  </si>
  <si>
    <t>YTD 2024/25
As At Month X</t>
  </si>
  <si>
    <t>Y/E
Forecast 2024/25</t>
  </si>
  <si>
    <t>BUDGET
2025/26</t>
  </si>
  <si>
    <t>Actual 2023/24</t>
  </si>
  <si>
    <t xml:space="preserve">
Actual
2024/25</t>
  </si>
  <si>
    <t xml:space="preserve">
Budget
2025/26</t>
  </si>
  <si>
    <t>Litter Pick 2024</t>
  </si>
  <si>
    <t>SP School Electricity</t>
  </si>
  <si>
    <t>Clerk Household Expenses</t>
  </si>
  <si>
    <t>Clerk Travelling Expenses</t>
  </si>
  <si>
    <t>Subsriptions</t>
  </si>
  <si>
    <t>Bookings Clerk/Cleaner Salary</t>
  </si>
  <si>
    <t>Electricity</t>
  </si>
  <si>
    <t>Box 3</t>
  </si>
  <si>
    <t>Vat Claim</t>
  </si>
  <si>
    <t>Hal Hire Regular</t>
  </si>
  <si>
    <t>Staithe</t>
  </si>
  <si>
    <t>£500 with Poors Charity</t>
  </si>
  <si>
    <t>2024-25</t>
  </si>
  <si>
    <t>08.04.2024</t>
  </si>
  <si>
    <t>First4Magnets</t>
  </si>
  <si>
    <t>Magnets for noticeboard</t>
  </si>
  <si>
    <t>Surlingham Primary School</t>
  </si>
  <si>
    <t>Hall hire and electricity</t>
  </si>
  <si>
    <t>15.04.2024</t>
  </si>
  <si>
    <t xml:space="preserve">VAT </t>
  </si>
  <si>
    <t>April Salary</t>
  </si>
  <si>
    <t>16.04.2024</t>
  </si>
  <si>
    <t>NPTS</t>
  </si>
  <si>
    <t>Subscription</t>
  </si>
  <si>
    <t>April expenses</t>
  </si>
  <si>
    <t>Membership</t>
  </si>
  <si>
    <t>WAVE</t>
  </si>
  <si>
    <t>Water 24/25</t>
  </si>
  <si>
    <t>SSE</t>
  </si>
  <si>
    <t>2414</t>
  </si>
  <si>
    <t>26.04.2024</t>
  </si>
  <si>
    <t>April Precept</t>
  </si>
  <si>
    <t>29.04.2024</t>
  </si>
  <si>
    <t>24/25 membership</t>
  </si>
  <si>
    <t>April Salary &amp; WFH</t>
  </si>
  <si>
    <t>Mr S Gildersleeve</t>
  </si>
  <si>
    <t xml:space="preserve">April SAM2 </t>
  </si>
  <si>
    <t>30.04.2024</t>
  </si>
  <si>
    <t>EDF</t>
  </si>
  <si>
    <t>MEM249430-1</t>
  </si>
  <si>
    <t>E89013530001</t>
  </si>
  <si>
    <t>1 Mar - 1 May</t>
  </si>
  <si>
    <t>Norfolk Baskets</t>
  </si>
  <si>
    <t>Hall Hire</t>
  </si>
  <si>
    <t>03.05.2024</t>
  </si>
  <si>
    <t>2426</t>
  </si>
  <si>
    <t>07.05.2024</t>
  </si>
  <si>
    <t>Coldham Hall</t>
  </si>
  <si>
    <t>2424</t>
  </si>
  <si>
    <t>2421</t>
  </si>
  <si>
    <t xml:space="preserve">Explanation of variances – pro forma </t>
  </si>
  <si>
    <t xml:space="preserve">Name of smaller authority: </t>
  </si>
  <si>
    <r>
      <t>County area (local councils and parish meetings only):</t>
    </r>
    <r>
      <rPr>
        <b/>
        <sz val="8"/>
        <color indexed="8"/>
        <rFont val="Arial"/>
        <family val="2"/>
      </rPr>
      <t xml:space="preserve"> </t>
    </r>
  </si>
  <si>
    <r>
      <t xml:space="preserve">Insert figures from Section 2 of the AGAR in all </t>
    </r>
    <r>
      <rPr>
        <b/>
        <u/>
        <sz val="10"/>
        <color indexed="62"/>
        <rFont val="Arial"/>
        <family val="2"/>
      </rPr>
      <t>Blue</t>
    </r>
    <r>
      <rPr>
        <b/>
        <sz val="10"/>
        <color indexed="10"/>
        <rFont val="Arial"/>
        <family val="2"/>
      </rPr>
      <t xml:space="preserve"> highlighted boxes </t>
    </r>
  </si>
  <si>
    <r>
      <t xml:space="preserve">Next, please provide full explanations, including numerical values, for the following that will be flagged in the green boxes where relevant:
</t>
    </r>
    <r>
      <rPr>
        <sz val="10"/>
        <color indexed="8"/>
        <rFont val="Arial"/>
        <family val="2"/>
      </rPr>
      <t xml:space="preserve">• variances of more than 15% between totals for individual boxes (except variances of less than £200); 
• </t>
    </r>
    <r>
      <rPr>
        <b/>
        <sz val="10"/>
        <color indexed="10"/>
        <rFont val="Arial"/>
        <family val="2"/>
      </rPr>
      <t>New from 2020/21 onwards:</t>
    </r>
    <r>
      <rPr>
        <sz val="10"/>
        <color indexed="8"/>
        <rFont val="Arial"/>
        <family val="2"/>
      </rPr>
      <t xml:space="preserve"> variances of £100,000 or more require explanation regardless of the % variation year on year;
</t>
    </r>
  </si>
  <si>
    <t>Variance</t>
  </si>
  <si>
    <t>Explanation Required?</t>
  </si>
  <si>
    <r>
      <t xml:space="preserve">Automatic responses trigger below based on figures input, </t>
    </r>
    <r>
      <rPr>
        <b/>
        <sz val="11"/>
        <color indexed="8"/>
        <rFont val="Arial"/>
        <family val="2"/>
      </rPr>
      <t>DO NOT OVERWRITE THESE BOXES</t>
    </r>
  </si>
  <si>
    <r>
      <t xml:space="preserve">Explanation from smaller authority </t>
    </r>
    <r>
      <rPr>
        <b/>
        <u/>
        <sz val="11"/>
        <color indexed="8"/>
        <rFont val="Arial"/>
        <family val="2"/>
      </rPr>
      <t>(must include narrative and supporting figures)</t>
    </r>
  </si>
  <si>
    <t>%</t>
  </si>
  <si>
    <t>1 Balances Brought Forward</t>
  </si>
  <si>
    <t>2 Precept or Rates and Levies</t>
  </si>
  <si>
    <t>3 Total Other Receipts</t>
  </si>
  <si>
    <t>4 Staff Costs</t>
  </si>
  <si>
    <t>5 Loan Interest/Capital Repayment</t>
  </si>
  <si>
    <t>6 All Other Payments</t>
  </si>
  <si>
    <t>7 Balances Carried Forward</t>
  </si>
  <si>
    <t>VARIANCE EXPLANATION NOT REQUIRED</t>
  </si>
  <si>
    <t>8 Total Cash and Short Term Investments</t>
  </si>
  <si>
    <t>9 Total Fixed Assets plus Other Long Term Investments and Assets</t>
  </si>
  <si>
    <t>10 Total Borrowings</t>
  </si>
  <si>
    <t>Rounding errors of up to £2 are tolerable</t>
  </si>
  <si>
    <t>Variances of £200 or less are tolerable</t>
  </si>
  <si>
    <t>BOX 10 VARIANCE EXPLANATION NOT REQUIRED IF CHANGE CAN BE EXPLAINED BY BOX 5 (CAPITAL PLUS INTEREST PAYMENT)</t>
  </si>
  <si>
    <t>%AGE OF INCOME &amp; EXPENDITURE 2024/25</t>
  </si>
  <si>
    <t>09.05.2021</t>
  </si>
  <si>
    <t>Amazon</t>
  </si>
  <si>
    <t>Paper Towels</t>
  </si>
  <si>
    <t>GB181072621-2024-37748</t>
  </si>
  <si>
    <t>May</t>
  </si>
  <si>
    <t>May expenses</t>
  </si>
  <si>
    <t>QL205219-1</t>
  </si>
  <si>
    <t>CiCLA Registration</t>
  </si>
  <si>
    <t>Mar/April</t>
  </si>
  <si>
    <t>Play Area repairs &amp; Mar SAM</t>
  </si>
  <si>
    <t>May Expenses</t>
  </si>
  <si>
    <t>John Hurrell</t>
  </si>
  <si>
    <t>Mower Service</t>
  </si>
  <si>
    <t>E89013530002</t>
  </si>
  <si>
    <t>LCO01742</t>
  </si>
  <si>
    <t>Clear Insurance</t>
  </si>
  <si>
    <t>Insurance 2024/25</t>
  </si>
  <si>
    <t>15.05.2024</t>
  </si>
  <si>
    <t>April</t>
  </si>
  <si>
    <t>May Salary</t>
  </si>
  <si>
    <t>20.05.2024</t>
  </si>
  <si>
    <t>Post Office</t>
  </si>
  <si>
    <t>Stamps</t>
  </si>
  <si>
    <t>Claxton PC</t>
  </si>
  <si>
    <t>24.05.2021</t>
  </si>
  <si>
    <t>2427</t>
  </si>
  <si>
    <t>Lunch Club</t>
  </si>
  <si>
    <t>2323</t>
  </si>
  <si>
    <t>Bowls</t>
  </si>
  <si>
    <t>2420</t>
  </si>
  <si>
    <t>23.05.2024</t>
  </si>
  <si>
    <t>28.05.2024</t>
  </si>
  <si>
    <t>May Salary &amp; WFH</t>
  </si>
  <si>
    <t>May SAM2</t>
  </si>
  <si>
    <t>03.06.2024</t>
  </si>
  <si>
    <t>Barclays</t>
  </si>
  <si>
    <t xml:space="preserve">Interest </t>
  </si>
  <si>
    <t>06.06.2024</t>
  </si>
  <si>
    <t>10.06.2024</t>
  </si>
  <si>
    <t>CiLCA Qualification</t>
  </si>
  <si>
    <t>11.06.2024</t>
  </si>
  <si>
    <t>12.06.2024</t>
  </si>
  <si>
    <t>Clerk networking</t>
  </si>
  <si>
    <t>Hollinger</t>
  </si>
  <si>
    <t>Newsletter</t>
  </si>
  <si>
    <t>June</t>
  </si>
  <si>
    <t>June expenses</t>
  </si>
  <si>
    <t>May salary back pay</t>
  </si>
  <si>
    <t>P29</t>
  </si>
  <si>
    <t>TRANSFER</t>
  </si>
  <si>
    <t>Play Area repairs and Hall clean</t>
  </si>
  <si>
    <t>2425</t>
  </si>
  <si>
    <t>Gentle Exercise</t>
  </si>
  <si>
    <t>2431</t>
  </si>
  <si>
    <t>14.06.2024</t>
  </si>
  <si>
    <t>June Salary</t>
  </si>
  <si>
    <t>18.06.2024</t>
  </si>
  <si>
    <t>15.06.2024</t>
  </si>
  <si>
    <t>2428</t>
  </si>
  <si>
    <t>2330</t>
  </si>
  <si>
    <t>Hall Hire - PCC Elections</t>
  </si>
  <si>
    <t>2432</t>
  </si>
  <si>
    <t>2433</t>
  </si>
  <si>
    <t>2435</t>
  </si>
  <si>
    <t>07.06.2024</t>
  </si>
  <si>
    <t>Tesco</t>
  </si>
  <si>
    <t>Mobile for SAM2</t>
  </si>
  <si>
    <t>Currys</t>
  </si>
  <si>
    <t>Fridge</t>
  </si>
  <si>
    <t>Playscapes</t>
  </si>
  <si>
    <t>Play area repairs</t>
  </si>
  <si>
    <t>20.06.2024</t>
  </si>
  <si>
    <t>Playscape invoice</t>
  </si>
  <si>
    <t>21.06.2024</t>
  </si>
  <si>
    <t>25.06.2024</t>
  </si>
  <si>
    <t>Olivia How</t>
  </si>
  <si>
    <t>28.06.2024</t>
  </si>
  <si>
    <t>June Salary &amp; WFH</t>
  </si>
  <si>
    <t>June SAM2</t>
  </si>
  <si>
    <t>2430</t>
  </si>
  <si>
    <t>WI</t>
  </si>
  <si>
    <t>2417/2422</t>
  </si>
  <si>
    <t>2434</t>
  </si>
  <si>
    <t>5350-2787-00</t>
  </si>
  <si>
    <t>03.07.2024</t>
  </si>
  <si>
    <t>Qualification/Clerk networking</t>
  </si>
  <si>
    <t>2436/2438</t>
  </si>
  <si>
    <t>Hall Hire and electricity</t>
  </si>
  <si>
    <t>04.07.2024</t>
  </si>
  <si>
    <t>2437</t>
  </si>
  <si>
    <t>09.07.2024</t>
  </si>
  <si>
    <t>J Patterson</t>
  </si>
  <si>
    <t>2439</t>
  </si>
  <si>
    <t>Ear Marked Funds</t>
  </si>
  <si>
    <t>10.07.2024</t>
  </si>
  <si>
    <t>VAT Claim Apr-Jun</t>
  </si>
  <si>
    <t>IAS/SPC 00459</t>
  </si>
  <si>
    <t>Mr R Goreham</t>
  </si>
  <si>
    <t>Internal Audit 23/24</t>
  </si>
  <si>
    <t>O734350</t>
  </si>
  <si>
    <t>CPRE</t>
  </si>
  <si>
    <t>Annual Membership</t>
  </si>
  <si>
    <t xml:space="preserve">June </t>
  </si>
  <si>
    <t>June Invoice/P16 correction</t>
  </si>
  <si>
    <t>Payroll 24/25</t>
  </si>
  <si>
    <t>Playsafety Ltd</t>
  </si>
  <si>
    <t>Play Area Annual Inspection</t>
  </si>
  <si>
    <t>Flow Heating</t>
  </si>
  <si>
    <t>Taps - Servery and Ladies</t>
  </si>
  <si>
    <t>Flood overtime</t>
  </si>
  <si>
    <t>July</t>
  </si>
  <si>
    <t>July expenses</t>
  </si>
  <si>
    <t>12.07.2024</t>
  </si>
  <si>
    <t>Mobile Refund</t>
  </si>
  <si>
    <t>July Salary</t>
  </si>
  <si>
    <t>15.07.2024</t>
  </si>
  <si>
    <t>19.07.2024</t>
  </si>
  <si>
    <t>Election Hire</t>
  </si>
  <si>
    <t>26.07.2024</t>
  </si>
  <si>
    <t>29.07.2024</t>
  </si>
  <si>
    <t>July Salary &amp; WFH</t>
  </si>
  <si>
    <t>July SAM2</t>
  </si>
  <si>
    <t>2440</t>
  </si>
  <si>
    <t>2442</t>
  </si>
  <si>
    <t>2429</t>
  </si>
  <si>
    <t>08.07.2024</t>
  </si>
  <si>
    <t>15.08.2024</t>
  </si>
  <si>
    <t>August</t>
  </si>
  <si>
    <t>August Salary</t>
  </si>
  <si>
    <t>20.08.2024</t>
  </si>
  <si>
    <t>28.08.2024</t>
  </si>
  <si>
    <t>August Salary &amp; WFH</t>
  </si>
  <si>
    <t xml:space="preserve">August </t>
  </si>
  <si>
    <t>August SAM2</t>
  </si>
  <si>
    <t>02.09.2024</t>
  </si>
  <si>
    <t>KI-DFE36BF6-0002</t>
  </si>
  <si>
    <t>12.04.2024</t>
  </si>
  <si>
    <t>Add: Bank Account Receipts</t>
  </si>
  <si>
    <t xml:space="preserve">Less: Bank Account Payments </t>
  </si>
  <si>
    <t>Less: Reserves Payments</t>
  </si>
  <si>
    <t>Reserves Account</t>
  </si>
  <si>
    <t>Receipts</t>
  </si>
  <si>
    <t>Playscape</t>
  </si>
  <si>
    <t>Transfer</t>
  </si>
  <si>
    <t>Add: Reserves Receipts</t>
  </si>
  <si>
    <t>TRANSFERS</t>
  </si>
  <si>
    <t>Transfers Out</t>
  </si>
  <si>
    <t>Transfers In</t>
  </si>
  <si>
    <t>Transfer Out</t>
  </si>
  <si>
    <t>06.09.2024</t>
  </si>
  <si>
    <t>11.09.2024</t>
  </si>
  <si>
    <t>Westcotec</t>
  </si>
  <si>
    <t>Cables</t>
  </si>
  <si>
    <t>Dog bins</t>
  </si>
  <si>
    <t>September Expenses</t>
  </si>
  <si>
    <t>September Studying</t>
  </si>
  <si>
    <t>September Salary</t>
  </si>
  <si>
    <t>September Precept</t>
  </si>
  <si>
    <t>16.09.2024</t>
  </si>
  <si>
    <t>20.09.2024</t>
  </si>
  <si>
    <t>23.09.2024</t>
  </si>
  <si>
    <t>25.09.2024</t>
  </si>
  <si>
    <t>EDF Energy</t>
  </si>
  <si>
    <t>26.09.2024</t>
  </si>
  <si>
    <t>Minuteman Press</t>
  </si>
  <si>
    <t>Signs</t>
  </si>
  <si>
    <t>27.09.2024</t>
  </si>
  <si>
    <t>2446</t>
  </si>
  <si>
    <t>July Invoice</t>
  </si>
  <si>
    <t>16016</t>
  </si>
  <si>
    <t>0701086865</t>
  </si>
  <si>
    <t>September</t>
  </si>
  <si>
    <t>2447/2448</t>
  </si>
  <si>
    <t>Hall  Hire</t>
  </si>
  <si>
    <t>KI-DFE36BF6-0003</t>
  </si>
  <si>
    <t>Gift voucher - John Martin</t>
  </si>
  <si>
    <t>09.09.2024</t>
  </si>
  <si>
    <t>30.09.2024</t>
  </si>
  <si>
    <t>Laminate Paper</t>
  </si>
  <si>
    <t>September Salary &amp; WFH</t>
  </si>
  <si>
    <t>September SAM2</t>
  </si>
  <si>
    <t>GB46NGP6HAEUI</t>
  </si>
  <si>
    <t>04.10.2024</t>
  </si>
  <si>
    <t>Big Litter Pick</t>
  </si>
  <si>
    <t>09.10.2024</t>
  </si>
  <si>
    <t>October Expenses</t>
  </si>
  <si>
    <t>Surlingham Poors and Church</t>
  </si>
  <si>
    <t>Allotment rent</t>
  </si>
  <si>
    <t>Clerks Manual</t>
  </si>
  <si>
    <t>P68</t>
  </si>
  <si>
    <t>Clean Up and Bloom bulbs</t>
  </si>
  <si>
    <t>10.10.2024</t>
  </si>
  <si>
    <t>Ink Cartridges</t>
  </si>
  <si>
    <t>11.10.2024</t>
  </si>
  <si>
    <t>To J Atkins fund</t>
  </si>
  <si>
    <t>J Atkins Fund</t>
  </si>
  <si>
    <t>P39 and P42</t>
  </si>
  <si>
    <t>Bulbs</t>
  </si>
  <si>
    <t>ORD509807-1</t>
  </si>
  <si>
    <t>GB102467111</t>
  </si>
  <si>
    <t>15.10.2024</t>
  </si>
  <si>
    <t>October Salary</t>
  </si>
  <si>
    <t>FOSS</t>
  </si>
  <si>
    <t>School Fete</t>
  </si>
  <si>
    <t>17.10.2024</t>
  </si>
  <si>
    <t>John Lewis</t>
  </si>
  <si>
    <t>Laptop</t>
  </si>
  <si>
    <t>18.10.2024</t>
  </si>
  <si>
    <t>Stamps for JM card</t>
  </si>
  <si>
    <t>466518362/1</t>
  </si>
  <si>
    <t>25.10.2024</t>
  </si>
  <si>
    <t>P74 and website</t>
  </si>
  <si>
    <t>24.10.2024</t>
  </si>
  <si>
    <t>P74 AND WEBSITE</t>
  </si>
  <si>
    <t>325.84
SLCC registration 150.00
Networking 9.67
Seminar 18.67
Qualification 95.00
Clerks Manual 52.50 (requesting funding)</t>
  </si>
  <si>
    <t>220.00 from reserves and 19.99 for mobile which was returned</t>
  </si>
  <si>
    <t>£13ph £130.91 per month</t>
  </si>
  <si>
    <t>per month</t>
  </si>
  <si>
    <t>Larger than Rockland Parish
Smaller Precept
More Assets</t>
  </si>
  <si>
    <t>Monies from CPC and RSM for training/quaification etc</t>
  </si>
  <si>
    <t>Increase prices to ensure maintenance contingency</t>
  </si>
  <si>
    <t>Reserves Account Balance</t>
  </si>
  <si>
    <t>Surplus</t>
  </si>
  <si>
    <t>Will reduce when painting quotes received.</t>
  </si>
  <si>
    <t>Website</t>
  </si>
  <si>
    <t>28.10.2024</t>
  </si>
  <si>
    <t xml:space="preserve">October Studying </t>
  </si>
  <si>
    <t>October Salary &amp; WFH</t>
  </si>
  <si>
    <t>October SAM2</t>
  </si>
  <si>
    <t>IT</t>
  </si>
  <si>
    <t>Accounting software - approaching £30k income and expenditure
Website admin charge (Domian reg £112 for 2026/27 budget)</t>
  </si>
  <si>
    <t>NI contributions</t>
  </si>
  <si>
    <t>Approx in light of government budget reducing limit to 5000</t>
  </si>
  <si>
    <t>06.11.2024</t>
  </si>
  <si>
    <t>08.11.2024</t>
  </si>
  <si>
    <t>07.11.2024</t>
  </si>
  <si>
    <t>November expenses</t>
  </si>
  <si>
    <t>Back dated pay</t>
  </si>
  <si>
    <t>October invoice &amp; expenses</t>
  </si>
  <si>
    <t>Autumn Seminar</t>
  </si>
  <si>
    <t xml:space="preserve">Hollinger </t>
  </si>
  <si>
    <t>Orange Fox</t>
  </si>
  <si>
    <t>PAT testing</t>
  </si>
  <si>
    <t>PKF Littlejohn</t>
  </si>
  <si>
    <t>No Cycling sign</t>
  </si>
  <si>
    <t>John Hurrell &amp; Sons</t>
  </si>
  <si>
    <t>Mower repairs</t>
  </si>
  <si>
    <t>Westcotec Ltd</t>
  </si>
  <si>
    <t>SAM2 service</t>
  </si>
  <si>
    <t>Chair training</t>
  </si>
  <si>
    <t>November salary</t>
  </si>
  <si>
    <t>15.11.2024</t>
  </si>
  <si>
    <t>18.11.2024</t>
  </si>
  <si>
    <t>21.11.2024</t>
  </si>
  <si>
    <t>13.11.2024</t>
  </si>
  <si>
    <t>22577/22612</t>
  </si>
  <si>
    <t>SB20242954</t>
  </si>
  <si>
    <t>KI-DFE36BF6-0006</t>
  </si>
  <si>
    <t>25.11.2024</t>
  </si>
  <si>
    <t>Chair feet</t>
  </si>
  <si>
    <t>Surplus Reserves</t>
  </si>
  <si>
    <t>Surplus BA</t>
  </si>
  <si>
    <t>£15.33ph x32 x5 =£2,453, £15.33 x40x7 = £4,293, national pay rise = £280, Appraisal pay rise = £120, Studying £76.65x3 = £229.95 
TOTAL £7375.95
£15.33ph x32 x12 =5886.72, national pay rise = £224, Appraisal pay rise = £100, Studying £76.65x3 = £229.95 TOTAL 6440.67</t>
  </si>
  <si>
    <t>CAN 20.00
Norfolk ALC 200.00
SLCC registation 65.00 (195.00)
CPRE 36.00
Microsoft 50.00</t>
  </si>
  <si>
    <t>Included in Subscriptions 25/26</t>
  </si>
  <si>
    <t xml:space="preserve">Poors </t>
  </si>
  <si>
    <t>2024/25
2023/24</t>
  </si>
  <si>
    <t>Pond maintenance</t>
  </si>
  <si>
    <t>28.11.2024</t>
  </si>
  <si>
    <t>November studying</t>
  </si>
  <si>
    <t>November salary &amp; WFH</t>
  </si>
  <si>
    <t>29.11.2024</t>
  </si>
  <si>
    <t>Surlingham School</t>
  </si>
  <si>
    <t>Hall Hire &amp; Electricity</t>
  </si>
  <si>
    <t>02.12.2024</t>
  </si>
  <si>
    <t>Reduce costs if Cllr would like to do agenda and minutes - increase reserves</t>
  </si>
  <si>
    <t>Laptop £490</t>
  </si>
  <si>
    <t>Has Q4 from 2023/24 - £5825.29. Actual for 24/25 is £4,174.71</t>
  </si>
  <si>
    <t>09.12.2024</t>
  </si>
  <si>
    <t>11.12.2024</t>
  </si>
  <si>
    <t>PAYE</t>
  </si>
  <si>
    <t>December's expenses</t>
  </si>
  <si>
    <t>16.12.2024</t>
  </si>
  <si>
    <t>Decembers Salary</t>
  </si>
  <si>
    <t>Feet and Ink Cartridges</t>
  </si>
  <si>
    <t>Scaffold Direct</t>
  </si>
  <si>
    <t>Railings for storage</t>
  </si>
  <si>
    <t>23.12.2024</t>
  </si>
  <si>
    <t>24.12.2024</t>
  </si>
  <si>
    <t>27.12.2024</t>
  </si>
  <si>
    <t>VAT Jul-Sept 24</t>
  </si>
  <si>
    <t>30.12.2024</t>
  </si>
  <si>
    <t>December studying</t>
  </si>
  <si>
    <t>December salary &amp; WFH</t>
  </si>
  <si>
    <t>06.01.2025</t>
  </si>
  <si>
    <t>Microsoft</t>
  </si>
  <si>
    <t>365 subscription</t>
  </si>
  <si>
    <t>KI-DFE36BF6-0008</t>
  </si>
  <si>
    <t>13.01.2025</t>
  </si>
  <si>
    <t>V.Burgess</t>
  </si>
  <si>
    <t>15.01.2025</t>
  </si>
  <si>
    <t>January Salary</t>
  </si>
  <si>
    <t>December salary correction</t>
  </si>
  <si>
    <t>Starboard Systems</t>
  </si>
  <si>
    <t>Scribe accounts</t>
  </si>
  <si>
    <t>January expenses</t>
  </si>
  <si>
    <t xml:space="preserve">PAYE </t>
  </si>
  <si>
    <t>21.01.2025</t>
  </si>
  <si>
    <t>22.01.2025</t>
  </si>
  <si>
    <t>Miss Dickens</t>
  </si>
  <si>
    <t>KI-DFE36BF6-0009</t>
  </si>
  <si>
    <t>Nov/Dec Invoice and Expenses</t>
  </si>
  <si>
    <t>VAT claim Oct - Dec</t>
  </si>
  <si>
    <t>RSM &amp; CPC SLCC membership- £130
RSM and CPC qualification - £300
RSM &amp; CPC SLCC network - £19.34
Mobile refund - £24.99
HMRC - £22.20</t>
  </si>
  <si>
    <t>Laptop - £458.32(Reserves)</t>
  </si>
  <si>
    <t xml:space="preserve">Mobile - £19.99+VAT
J.Atkins fund - £220 (Grant)
</t>
  </si>
  <si>
    <t>%AGE DIFFERENCE ON ACTUAL SPEND</t>
  </si>
  <si>
    <t>28.01.2025</t>
  </si>
  <si>
    <t>January Study</t>
  </si>
  <si>
    <t>Janaury Salary &amp; WFH</t>
  </si>
  <si>
    <t>SAM2</t>
  </si>
  <si>
    <t>30.01.2025</t>
  </si>
  <si>
    <t>Safety Sign Warehouse</t>
  </si>
  <si>
    <t>Posts for Noticeboard</t>
  </si>
  <si>
    <t>31.01.2025</t>
  </si>
  <si>
    <t>23/24 &amp; 24/25 grant for field</t>
  </si>
  <si>
    <t>23/24 &amp; 24/25 grant for burial ground</t>
  </si>
  <si>
    <t>04.02.2025</t>
  </si>
  <si>
    <t>P84,98,105,106,115,122</t>
  </si>
  <si>
    <t>P123,124</t>
  </si>
  <si>
    <t>P123, 124</t>
  </si>
  <si>
    <t>Hours of hire corrected for 24/25</t>
  </si>
  <si>
    <t>2 Elections held (PCC and General)</t>
  </si>
  <si>
    <t>Electricity for Q4 23/24 - £5825.29</t>
  </si>
  <si>
    <t xml:space="preserve">Taps and servary
Fridge
PAT test - Heater failed 2 tests required
Deep Clean - £88.00 (Reserves)
Outside areas - £54 (Reserves)
Chair feet - £85.07 (Reserves)
Scaffold for storage - £121.24 (Reserves)
Draught excluder and removal of ivy - £123.25 (Reserves)
</t>
  </si>
  <si>
    <t xml:space="preserve">Laptop
SAM2 cables </t>
  </si>
  <si>
    <t>P74
P54</t>
  </si>
  <si>
    <t>Play Area Repairs
Mower Service
Playscape play area repairs
Gate play area
Play signs
No Cycle sign
Mower Repairs</t>
  </si>
  <si>
    <t>P16
P39
P42
P84
P98
P105
P106
P114</t>
  </si>
  <si>
    <t>P123
P124</t>
  </si>
  <si>
    <t>Surlingham school - field 23/24 &amp; 24/25
Surlingham PCC - burial ground 23/24 &amp; 24/25</t>
  </si>
  <si>
    <t xml:space="preserve">Deep Clean of Hall
Drain
Taps - Servery and Ladies
Tidy up of outside areas
Replacement chair feet
Scaffold for storage
Ivy removal and draught excluder
</t>
  </si>
  <si>
    <t xml:space="preserve">P16
P53
P18
P35
P39
P53
P60
P91
P92
</t>
  </si>
  <si>
    <t>12.02.2025</t>
  </si>
  <si>
    <t>January back pay</t>
  </si>
  <si>
    <t>PAYE to 5th Feb</t>
  </si>
  <si>
    <t>February expenses</t>
  </si>
  <si>
    <t>Swannington Windows</t>
  </si>
  <si>
    <t>Door deposit</t>
  </si>
  <si>
    <t>17.02.2025</t>
  </si>
  <si>
    <t>February Salary</t>
  </si>
  <si>
    <t>20.02.2025</t>
  </si>
  <si>
    <t>21.02.2025</t>
  </si>
  <si>
    <t>GDPR fee</t>
  </si>
  <si>
    <t>28.02.2025</t>
  </si>
  <si>
    <t>February study</t>
  </si>
  <si>
    <t>February Salary &amp; WFH</t>
  </si>
  <si>
    <t>February SAM2</t>
  </si>
  <si>
    <t>KI-DFE36BF6-0010</t>
  </si>
  <si>
    <t>Lost 2 regular hirers
Lunch Club issue</t>
  </si>
  <si>
    <t>07.02.2025</t>
  </si>
  <si>
    <t>03.03.2025</t>
  </si>
  <si>
    <t>Staples</t>
  </si>
  <si>
    <r>
      <t xml:space="preserve">Mower volunteer - £20.00
</t>
    </r>
    <r>
      <rPr>
        <i/>
        <u/>
        <sz val="12"/>
        <color theme="1"/>
        <rFont val="Calibri"/>
        <family val="2"/>
        <scheme val="minor"/>
      </rPr>
      <t>Reserves</t>
    </r>
    <r>
      <rPr>
        <i/>
        <sz val="12"/>
        <color theme="1"/>
        <rFont val="Calibri"/>
        <family val="2"/>
        <scheme val="minor"/>
      </rPr>
      <t xml:space="preserve">
PCC Burial - £500
School playing field - £500</t>
    </r>
  </si>
  <si>
    <t>10.03.2025</t>
  </si>
  <si>
    <t>C Grisley</t>
  </si>
  <si>
    <t>C Wright</t>
  </si>
  <si>
    <t>`</t>
  </si>
  <si>
    <t>12.03.2025</t>
  </si>
  <si>
    <t>March's payment schedule</t>
  </si>
  <si>
    <t>February back pay</t>
  </si>
  <si>
    <t>Chris Clitheroe</t>
  </si>
  <si>
    <t>Hall painting</t>
  </si>
  <si>
    <t>PAYE to 5th Mar</t>
  </si>
  <si>
    <t>March expenses</t>
  </si>
  <si>
    <t>Gary Harris training</t>
  </si>
  <si>
    <t>17.03.2025</t>
  </si>
  <si>
    <t>March salary</t>
  </si>
  <si>
    <t>18.03.2025</t>
  </si>
  <si>
    <t>Surlingham Tornadoes</t>
  </si>
  <si>
    <t>19.03.2025</t>
  </si>
  <si>
    <t>C Dickens</t>
  </si>
  <si>
    <t>2463/2507</t>
  </si>
  <si>
    <t>2464/2465/2508</t>
  </si>
  <si>
    <t>07.03.2025</t>
  </si>
  <si>
    <t>21.03.2025</t>
  </si>
  <si>
    <t>24.03.2025</t>
  </si>
  <si>
    <t>28.03.2025</t>
  </si>
  <si>
    <t>March Study</t>
  </si>
  <si>
    <t>March Salary &amp; WFH</t>
  </si>
  <si>
    <t>March SAM2</t>
  </si>
  <si>
    <t>KI-DFE36BF6</t>
  </si>
  <si>
    <t>2461/2505/2511/2517</t>
  </si>
  <si>
    <t>2510/2516</t>
  </si>
  <si>
    <t>2509/2512</t>
  </si>
  <si>
    <t>ACTUAL YTD 24/25
AS AT 31/03/2025</t>
  </si>
  <si>
    <r>
      <t xml:space="preserve">NPTS - £125
CAN - £20
SLCC - £65 (SPC contribution (£195 total))
CPRE - £36
ICO - £47
</t>
    </r>
    <r>
      <rPr>
        <i/>
        <u/>
        <sz val="12"/>
        <color theme="1"/>
        <rFont val="Calibri"/>
        <family val="2"/>
        <scheme val="minor"/>
      </rPr>
      <t>Reserves</t>
    </r>
    <r>
      <rPr>
        <i/>
        <sz val="12"/>
        <color theme="1"/>
        <rFont val="Calibri"/>
        <family val="2"/>
        <scheme val="minor"/>
      </rPr>
      <t xml:space="preserve">
Norfolk ALC website - £222 
Norfolk ALC subscription - £87.92 
Scribe - £621 </t>
    </r>
  </si>
  <si>
    <r>
      <t xml:space="preserve">Moving SAM2
Clean Up and Bloom bulbs - £183.33 (Grant)
</t>
    </r>
    <r>
      <rPr>
        <i/>
        <u/>
        <sz val="12"/>
        <color theme="1"/>
        <rFont val="Calibri"/>
        <family val="2"/>
        <scheme val="minor"/>
      </rPr>
      <t>Reserves</t>
    </r>
    <r>
      <rPr>
        <i/>
        <sz val="12"/>
        <color theme="1"/>
        <rFont val="Calibri"/>
        <family val="2"/>
        <scheme val="minor"/>
      </rPr>
      <t xml:space="preserve">
Play Area repairs/Deep Hall Clean (SG) - £122.49
Mower repairs - £158.33
Play area big repairs - £1020
Clear drain blockage - £36.09
SAM2 cables - £60.00
Play area signs - £44.09
No Cycling signs - £7.30
Replacement door deposit - £330.50
Hall painting - £1600.00
</t>
    </r>
  </si>
  <si>
    <t>Autumn Seminar
Chair training
Clerk's Manual
CiLCA  - £150 (SPC contibution (£450 total))
SLCC networking - £9.67 (SPC contribution (£29 total))
G. Harris training</t>
  </si>
  <si>
    <t>Lost of 2 regular hall hirers resulting in approx. £2,140 loss of income
Outstanding invoice for hall hire for 24/25 of £1,127</t>
  </si>
  <si>
    <t>£1,060.92 pulled from reserves to cover implementation of council website and purchase of accounting software for 25/26
£3,682.68 pulled from reserves to cover play area equipment repairs, redecorating of the village hall, replacement door and overdue hall maintenance</t>
  </si>
  <si>
    <t>07.04.2025</t>
  </si>
  <si>
    <t>Bookings Clerk/Cleaner</t>
  </si>
  <si>
    <t>Clerk</t>
  </si>
  <si>
    <t>Community Action Norfolk</t>
  </si>
  <si>
    <t>South Norfolk District Council</t>
  </si>
  <si>
    <t>Society of Local Council Clerks</t>
  </si>
  <si>
    <t>Society of Local Council Clerks Membership</t>
  </si>
  <si>
    <t>Rockland St Mary with Hellington Parish Council</t>
  </si>
  <si>
    <t>Norfolk Assocation of Local Councils</t>
  </si>
  <si>
    <t>Councillor Scowen</t>
  </si>
  <si>
    <t>Surlingham Parochial Church Council</t>
  </si>
  <si>
    <t>Information Conmissioners Office</t>
  </si>
  <si>
    <t>Interest Reserves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</si>
</sst>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£&quot;#,##0;[Red]\-&quot;£&quot;#,##0"/>
    <numFmt numFmtId="7" formatCode="&quot;£&quot;#,##0.00;\-&quot;£&quot;#,##0.00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&quot;£&quot;#,##0.00"/>
    <numFmt numFmtId="165" formatCode="_-* #,##0_-;\-* #,##0_-;_-* &quot;-&quot;??_-;_-@_-"/>
    <numFmt numFmtId="166" formatCode="dd/mm/yyyy;@"/>
    <numFmt numFmtId="167" formatCode="0_ ;[Red]\-0\ "/>
    <numFmt numFmtId="168" formatCode="#,##0.00_ ;[Red]\-#,##0.00\ "/>
  </numFmts>
  <fonts count="6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i/>
      <sz val="14"/>
      <name val="Calibri"/>
      <family val="2"/>
      <scheme val="minor"/>
    </font>
    <font>
      <b/>
      <i/>
      <sz val="14"/>
      <name val="Calibri"/>
      <family val="2"/>
      <scheme val="minor"/>
    </font>
    <font>
      <sz val="14"/>
      <color theme="0" tint="-0.499984740745262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u/>
      <sz val="12"/>
      <name val="Arial"/>
      <family val="2"/>
    </font>
    <font>
      <u/>
      <sz val="12"/>
      <name val="Arial"/>
      <family val="2"/>
    </font>
    <font>
      <sz val="12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C00000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8"/>
      <name val="Calibri"/>
      <family val="2"/>
    </font>
    <font>
      <b/>
      <sz val="12"/>
      <color rgb="FFFF0000"/>
      <name val="Calibri"/>
      <family val="2"/>
      <scheme val="minor"/>
    </font>
    <font>
      <b/>
      <sz val="12"/>
      <color indexed="10"/>
      <name val="Calibri"/>
      <family val="2"/>
    </font>
    <font>
      <sz val="12"/>
      <color rgb="FF006100"/>
      <name val="Calibri"/>
      <family val="2"/>
      <scheme val="minor"/>
    </font>
    <font>
      <u/>
      <sz val="10"/>
      <color indexed="12"/>
      <name val="Arial"/>
      <family val="2"/>
    </font>
    <font>
      <u/>
      <sz val="12"/>
      <color indexed="12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u/>
      <sz val="1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8"/>
      <color indexed="8"/>
      <name val="Arial"/>
      <family val="2"/>
    </font>
    <font>
      <b/>
      <sz val="10"/>
      <color indexed="10"/>
      <name val="Arial"/>
      <family val="2"/>
    </font>
    <font>
      <b/>
      <u/>
      <sz val="10"/>
      <color indexed="62"/>
      <name val="Arial"/>
      <family val="2"/>
    </font>
    <font>
      <b/>
      <sz val="10"/>
      <color theme="1"/>
      <name val="Arial"/>
      <family val="2"/>
    </font>
    <font>
      <sz val="10"/>
      <color theme="1"/>
      <name val="Symbol"/>
      <family val="1"/>
      <charset val="2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b/>
      <u/>
      <sz val="11"/>
      <color indexed="8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name val="Calibri"/>
      <family val="2"/>
    </font>
    <font>
      <i/>
      <u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6EFCE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indexed="13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 diagonalUp="1">
      <left/>
      <right/>
      <top/>
      <bottom/>
      <diagonal style="thin">
        <color theme="0" tint="-0.14996795556505021"/>
      </diagonal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medium">
        <color indexed="64"/>
      </bottom>
      <diagonal/>
    </border>
    <border>
      <left/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double">
        <color indexed="64"/>
      </bottom>
      <diagonal/>
    </border>
    <border>
      <left style="thin">
        <color rgb="FFB8CCE4"/>
      </left>
      <right style="thin">
        <color rgb="FFB8CCE4"/>
      </right>
      <top/>
      <bottom style="double">
        <color indexed="64"/>
      </bottom>
      <diagonal/>
    </border>
    <border>
      <left style="thin">
        <color theme="0"/>
      </left>
      <right style="thin">
        <color theme="0"/>
      </right>
      <top style="thin">
        <color theme="5" tint="0.79998168889431442"/>
      </top>
      <bottom/>
      <diagonal/>
    </border>
    <border>
      <left style="thin">
        <color rgb="FFB8CCE4"/>
      </left>
      <right style="thin">
        <color rgb="FFB8CCE4"/>
      </right>
      <top style="thin">
        <color theme="4" tint="0.59996337778862885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5" tint="0.79998168889431442"/>
      </top>
      <bottom style="thin">
        <color theme="5" tint="0.79998168889431442"/>
      </bottom>
      <diagonal/>
    </border>
    <border>
      <left style="thin">
        <color rgb="FFB8CCE4"/>
      </left>
      <right style="thin">
        <color rgb="FFB8CCE4"/>
      </right>
      <top style="thin">
        <color theme="4" tint="0.59996337778862885"/>
      </top>
      <bottom style="thin">
        <color theme="4" tint="0.59996337778862885"/>
      </bottom>
      <diagonal/>
    </border>
    <border>
      <left style="thin">
        <color rgb="FFB8CCE4"/>
      </left>
      <right style="thin">
        <color rgb="FFB8CCE4"/>
      </right>
      <top style="thin">
        <color indexed="64"/>
      </top>
      <bottom style="thin">
        <color theme="4" tint="0.59996337778862885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5" tint="0.79998168889431442"/>
      </bottom>
      <diagonal/>
    </border>
    <border>
      <left style="thin">
        <color rgb="FFB8CCE4"/>
      </left>
      <right style="thin">
        <color rgb="FFB8CCE4"/>
      </right>
      <top style="thin">
        <color theme="0"/>
      </top>
      <bottom style="thin">
        <color theme="4" tint="0.59996337778862885"/>
      </bottom>
      <diagonal/>
    </border>
    <border>
      <left style="thin">
        <color rgb="FFB8CCE4"/>
      </left>
      <right style="thin">
        <color rgb="FFB8CCE4"/>
      </right>
      <top/>
      <bottom style="thin">
        <color theme="4" tint="0.59996337778862885"/>
      </bottom>
      <diagonal/>
    </border>
    <border>
      <left style="thin">
        <color theme="0"/>
      </left>
      <right style="thin">
        <color theme="0"/>
      </right>
      <top/>
      <bottom style="thin">
        <color theme="5" tint="0.79998168889431442"/>
      </bottom>
      <diagonal/>
    </border>
    <border>
      <left style="thin">
        <color rgb="FFB8CCE4"/>
      </left>
      <right style="thin">
        <color rgb="FFB8CCE4"/>
      </right>
      <top style="thin">
        <color theme="4" tint="0.59996337778862885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rgb="FFC6EFCE"/>
      </bottom>
      <diagonal/>
    </border>
    <border>
      <left style="thin">
        <color indexed="64"/>
      </left>
      <right/>
      <top style="thin">
        <color rgb="FFC6EFCE"/>
      </top>
      <bottom style="thin">
        <color rgb="FFC6EFCE"/>
      </bottom>
      <diagonal/>
    </border>
    <border>
      <left style="thin">
        <color indexed="64"/>
      </left>
      <right/>
      <top style="thin">
        <color rgb="FFC6EFCE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C6EFCE"/>
      </bottom>
      <diagonal/>
    </border>
    <border>
      <left style="thin">
        <color indexed="64"/>
      </left>
      <right/>
      <top/>
      <bottom style="thin">
        <color rgb="FFC6EFCE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theme="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double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theme="0"/>
      </bottom>
      <diagonal/>
    </border>
    <border>
      <left style="thin">
        <color rgb="FFB8CCE4"/>
      </left>
      <right style="thin">
        <color rgb="FFB8CCE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5" tint="0.7999816888943144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5" tint="0.79998168889431442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/>
      <bottom style="thin">
        <color theme="0"/>
      </bottom>
      <diagonal/>
    </border>
  </borders>
  <cellStyleXfs count="15">
    <xf numFmtId="0" fontId="0" fillId="0" borderId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11" fillId="0" borderId="0"/>
    <xf numFmtId="0" fontId="1" fillId="0" borderId="0"/>
    <xf numFmtId="9" fontId="2" fillId="0" borderId="0" applyFont="0" applyFill="0" applyBorder="0" applyAlignment="0" applyProtection="0"/>
    <xf numFmtId="0" fontId="27" fillId="4" borderId="0" applyNumberFormat="0" applyBorder="0" applyAlignment="0" applyProtection="0"/>
    <xf numFmtId="0" fontId="36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526">
    <xf numFmtId="0" fontId="0" fillId="0" borderId="0" xfId="0"/>
    <xf numFmtId="0" fontId="5" fillId="0" borderId="0" xfId="0" applyFont="1"/>
    <xf numFmtId="164" fontId="5" fillId="0" borderId="0" xfId="0" applyNumberFormat="1" applyFont="1"/>
    <xf numFmtId="0" fontId="0" fillId="0" borderId="1" xfId="0" applyBorder="1"/>
    <xf numFmtId="164" fontId="0" fillId="0" borderId="0" xfId="0" applyNumberFormat="1"/>
    <xf numFmtId="0" fontId="4" fillId="0" borderId="0" xfId="0" applyFont="1"/>
    <xf numFmtId="4" fontId="5" fillId="0" borderId="0" xfId="0" applyNumberFormat="1" applyFont="1"/>
    <xf numFmtId="164" fontId="5" fillId="0" borderId="0" xfId="0" applyNumberFormat="1" applyFont="1" applyAlignment="1">
      <alignment horizontal="center"/>
    </xf>
    <xf numFmtId="0" fontId="13" fillId="2" borderId="0" xfId="3" applyNumberFormat="1" applyFont="1" applyFill="1" applyBorder="1" applyAlignment="1">
      <alignment horizontal="center"/>
    </xf>
    <xf numFmtId="44" fontId="13" fillId="2" borderId="0" xfId="3" applyFont="1" applyFill="1" applyBorder="1" applyAlignment="1">
      <alignment horizontal="right"/>
    </xf>
    <xf numFmtId="44" fontId="14" fillId="2" borderId="0" xfId="3" applyFont="1" applyFill="1" applyBorder="1" applyAlignment="1">
      <alignment horizontal="left"/>
    </xf>
    <xf numFmtId="44" fontId="13" fillId="2" borderId="2" xfId="3" applyFont="1" applyFill="1" applyBorder="1" applyAlignment="1">
      <alignment horizontal="left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14" fillId="2" borderId="0" xfId="4" applyFont="1" applyFill="1" applyAlignment="1">
      <alignment horizontal="left"/>
    </xf>
    <xf numFmtId="49" fontId="5" fillId="0" borderId="0" xfId="0" applyNumberFormat="1" applyFont="1" applyAlignment="1">
      <alignment horizontal="center" textRotation="90"/>
    </xf>
    <xf numFmtId="4" fontId="13" fillId="2" borderId="0" xfId="4" applyNumberFormat="1" applyFont="1" applyFill="1" applyAlignment="1">
      <alignment horizontal="left"/>
    </xf>
    <xf numFmtId="0" fontId="7" fillId="2" borderId="0" xfId="4" applyFont="1" applyFill="1"/>
    <xf numFmtId="0" fontId="13" fillId="2" borderId="0" xfId="4" applyFont="1" applyFill="1" applyAlignment="1">
      <alignment horizontal="left"/>
    </xf>
    <xf numFmtId="0" fontId="13" fillId="2" borderId="0" xfId="4" applyFont="1" applyFill="1" applyAlignment="1">
      <alignment horizontal="left" wrapText="1"/>
    </xf>
    <xf numFmtId="4" fontId="14" fillId="2" borderId="0" xfId="4" applyNumberFormat="1" applyFont="1" applyFill="1" applyAlignment="1">
      <alignment horizontal="left"/>
    </xf>
    <xf numFmtId="0" fontId="6" fillId="2" borderId="0" xfId="4" applyFill="1"/>
    <xf numFmtId="0" fontId="14" fillId="2" borderId="0" xfId="4" applyFont="1" applyFill="1" applyAlignment="1">
      <alignment horizontal="left" wrapText="1"/>
    </xf>
    <xf numFmtId="4" fontId="13" fillId="2" borderId="0" xfId="4" applyNumberFormat="1" applyFont="1" applyFill="1" applyAlignment="1">
      <alignment horizontal="left" wrapText="1"/>
    </xf>
    <xf numFmtId="0" fontId="10" fillId="0" borderId="0" xfId="6" applyFont="1" applyAlignment="1">
      <alignment vertical="top"/>
    </xf>
    <xf numFmtId="49" fontId="10" fillId="0" borderId="0" xfId="6" applyNumberFormat="1" applyFont="1" applyAlignment="1">
      <alignment wrapText="1"/>
    </xf>
    <xf numFmtId="166" fontId="9" fillId="0" borderId="0" xfId="6" applyNumberFormat="1" applyFont="1" applyAlignment="1">
      <alignment horizontal="center" wrapText="1"/>
    </xf>
    <xf numFmtId="0" fontId="10" fillId="0" borderId="4" xfId="6" applyFont="1" applyBorder="1" applyAlignment="1">
      <alignment vertical="top"/>
    </xf>
    <xf numFmtId="49" fontId="10" fillId="0" borderId="4" xfId="6" applyNumberFormat="1" applyFont="1" applyBorder="1" applyAlignment="1">
      <alignment wrapText="1"/>
    </xf>
    <xf numFmtId="14" fontId="9" fillId="0" borderId="4" xfId="6" applyNumberFormat="1" applyFont="1" applyBorder="1" applyAlignment="1">
      <alignment horizontal="center"/>
    </xf>
    <xf numFmtId="4" fontId="9" fillId="0" borderId="4" xfId="6" applyNumberFormat="1" applyFont="1" applyBorder="1" applyAlignment="1">
      <alignment horizontal="center"/>
    </xf>
    <xf numFmtId="0" fontId="10" fillId="0" borderId="5" xfId="6" applyFont="1" applyBorder="1" applyAlignment="1">
      <alignment vertical="top"/>
    </xf>
    <xf numFmtId="49" fontId="10" fillId="0" borderId="5" xfId="6" applyNumberFormat="1" applyFont="1" applyBorder="1" applyAlignment="1">
      <alignment wrapText="1"/>
    </xf>
    <xf numFmtId="0" fontId="11" fillId="0" borderId="0" xfId="5"/>
    <xf numFmtId="165" fontId="9" fillId="0" borderId="0" xfId="2" applyNumberFormat="1" applyFont="1"/>
    <xf numFmtId="4" fontId="9" fillId="0" borderId="0" xfId="2" applyNumberFormat="1" applyFont="1"/>
    <xf numFmtId="43" fontId="10" fillId="0" borderId="0" xfId="6" applyNumberFormat="1" applyFont="1"/>
    <xf numFmtId="44" fontId="14" fillId="0" borderId="0" xfId="3" applyFont="1" applyFill="1" applyBorder="1" applyAlignment="1">
      <alignment horizontal="left"/>
    </xf>
    <xf numFmtId="164" fontId="15" fillId="0" borderId="0" xfId="4" applyNumberFormat="1" applyFont="1" applyAlignment="1">
      <alignment horizontal="center"/>
    </xf>
    <xf numFmtId="44" fontId="17" fillId="0" borderId="0" xfId="3" applyFont="1" applyFill="1" applyBorder="1" applyAlignment="1">
      <alignment horizontal="left"/>
    </xf>
    <xf numFmtId="0" fontId="5" fillId="0" borderId="0" xfId="0" applyFont="1" applyAlignment="1">
      <alignment horizontal="center"/>
    </xf>
    <xf numFmtId="164" fontId="4" fillId="0" borderId="2" xfId="0" applyNumberFormat="1" applyFont="1" applyBorder="1"/>
    <xf numFmtId="164" fontId="12" fillId="0" borderId="0" xfId="0" applyNumberFormat="1" applyFont="1"/>
    <xf numFmtId="0" fontId="13" fillId="2" borderId="0" xfId="4" applyFont="1" applyFill="1" applyAlignment="1">
      <alignment horizontal="center"/>
    </xf>
    <xf numFmtId="2" fontId="5" fillId="0" borderId="0" xfId="0" applyNumberFormat="1" applyFont="1"/>
    <xf numFmtId="164" fontId="5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  <xf numFmtId="164" fontId="5" fillId="0" borderId="6" xfId="0" applyNumberFormat="1" applyFont="1" applyBorder="1" applyAlignment="1">
      <alignment horizontal="right"/>
    </xf>
    <xf numFmtId="49" fontId="5" fillId="0" borderId="0" xfId="0" applyNumberFormat="1" applyFont="1" applyAlignment="1">
      <alignment horizontal="center" textRotation="60" wrapText="1"/>
    </xf>
    <xf numFmtId="0" fontId="22" fillId="0" borderId="0" xfId="0" applyFont="1"/>
    <xf numFmtId="0" fontId="21" fillId="0" borderId="0" xfId="0" applyFont="1"/>
    <xf numFmtId="44" fontId="23" fillId="0" borderId="0" xfId="3" applyFont="1"/>
    <xf numFmtId="0" fontId="23" fillId="0" borderId="0" xfId="0" applyFont="1"/>
    <xf numFmtId="15" fontId="23" fillId="0" borderId="0" xfId="3" applyNumberFormat="1" applyFont="1" applyFill="1"/>
    <xf numFmtId="0" fontId="24" fillId="0" borderId="0" xfId="0" applyFont="1"/>
    <xf numFmtId="44" fontId="23" fillId="0" borderId="0" xfId="3" applyFont="1" applyFill="1"/>
    <xf numFmtId="44" fontId="23" fillId="0" borderId="3" xfId="3" applyFont="1" applyBorder="1"/>
    <xf numFmtId="0" fontId="23" fillId="0" borderId="0" xfId="0" applyFont="1" applyAlignment="1">
      <alignment horizontal="center"/>
    </xf>
    <xf numFmtId="164" fontId="23" fillId="0" borderId="0" xfId="0" applyNumberFormat="1" applyFont="1"/>
    <xf numFmtId="44" fontId="23" fillId="0" borderId="2" xfId="3" applyFont="1" applyBorder="1"/>
    <xf numFmtId="44" fontId="21" fillId="0" borderId="0" xfId="3" applyFont="1"/>
    <xf numFmtId="44" fontId="22" fillId="0" borderId="0" xfId="3" applyFont="1"/>
    <xf numFmtId="0" fontId="13" fillId="0" borderId="0" xfId="3" applyNumberFormat="1" applyFont="1" applyFill="1" applyBorder="1" applyAlignment="1">
      <alignment horizontal="center"/>
    </xf>
    <xf numFmtId="0" fontId="15" fillId="0" borderId="0" xfId="3" applyNumberFormat="1" applyFont="1" applyFill="1" applyBorder="1" applyAlignment="1">
      <alignment horizontal="center"/>
    </xf>
    <xf numFmtId="44" fontId="18" fillId="0" borderId="0" xfId="3" applyFont="1" applyFill="1" applyBorder="1" applyAlignment="1">
      <alignment horizontal="left"/>
    </xf>
    <xf numFmtId="164" fontId="14" fillId="0" borderId="0" xfId="4" applyNumberFormat="1" applyFont="1" applyAlignment="1">
      <alignment horizontal="center"/>
    </xf>
    <xf numFmtId="7" fontId="16" fillId="0" borderId="2" xfId="3" applyNumberFormat="1" applyFont="1" applyFill="1" applyBorder="1" applyAlignment="1">
      <alignment horizontal="center"/>
    </xf>
    <xf numFmtId="164" fontId="16" fillId="0" borderId="0" xfId="4" applyNumberFormat="1" applyFont="1" applyAlignment="1">
      <alignment horizontal="center"/>
    </xf>
    <xf numFmtId="44" fontId="18" fillId="0" borderId="2" xfId="3" applyFont="1" applyFill="1" applyBorder="1" applyAlignment="1">
      <alignment horizontal="right"/>
    </xf>
    <xf numFmtId="0" fontId="20" fillId="0" borderId="0" xfId="0" applyFont="1"/>
    <xf numFmtId="4" fontId="22" fillId="0" borderId="5" xfId="0" applyNumberFormat="1" applyFont="1" applyBorder="1" applyAlignment="1">
      <alignment horizontal="right"/>
    </xf>
    <xf numFmtId="0" fontId="22" fillId="0" borderId="13" xfId="0" applyFont="1" applyBorder="1"/>
    <xf numFmtId="0" fontId="30" fillId="0" borderId="14" xfId="0" applyFont="1" applyBorder="1"/>
    <xf numFmtId="4" fontId="22" fillId="0" borderId="13" xfId="0" applyNumberFormat="1" applyFont="1" applyBorder="1" applyAlignment="1">
      <alignment horizontal="right"/>
    </xf>
    <xf numFmtId="4" fontId="22" fillId="2" borderId="15" xfId="0" applyNumberFormat="1" applyFont="1" applyFill="1" applyBorder="1" applyAlignment="1">
      <alignment horizontal="right"/>
    </xf>
    <xf numFmtId="4" fontId="31" fillId="5" borderId="16" xfId="8" applyNumberFormat="1" applyFont="1" applyFill="1" applyBorder="1" applyAlignment="1">
      <alignment horizontal="right"/>
    </xf>
    <xf numFmtId="0" fontId="28" fillId="0" borderId="8" xfId="0" applyFont="1" applyBorder="1"/>
    <xf numFmtId="0" fontId="22" fillId="0" borderId="9" xfId="0" applyFont="1" applyBorder="1" applyAlignment="1">
      <alignment horizontal="right"/>
    </xf>
    <xf numFmtId="4" fontId="31" fillId="0" borderId="10" xfId="0" applyNumberFormat="1" applyFont="1" applyBorder="1" applyAlignment="1">
      <alignment horizontal="right"/>
    </xf>
    <xf numFmtId="0" fontId="28" fillId="0" borderId="9" xfId="0" applyFont="1" applyBorder="1"/>
    <xf numFmtId="4" fontId="29" fillId="5" borderId="18" xfId="8" applyNumberFormat="1" applyFont="1" applyFill="1" applyBorder="1" applyAlignment="1">
      <alignment horizontal="right"/>
    </xf>
    <xf numFmtId="0" fontId="22" fillId="0" borderId="8" xfId="0" applyFont="1" applyBorder="1"/>
    <xf numFmtId="4" fontId="22" fillId="0" borderId="10" xfId="0" applyNumberFormat="1" applyFont="1" applyBorder="1" applyAlignment="1">
      <alignment horizontal="right"/>
    </xf>
    <xf numFmtId="4" fontId="29" fillId="6" borderId="19" xfId="0" applyNumberFormat="1" applyFont="1" applyFill="1" applyBorder="1" applyAlignment="1">
      <alignment horizontal="right"/>
    </xf>
    <xf numFmtId="0" fontId="22" fillId="0" borderId="9" xfId="0" applyFont="1" applyBorder="1"/>
    <xf numFmtId="4" fontId="26" fillId="5" borderId="20" xfId="8" applyNumberFormat="1" applyFont="1" applyFill="1" applyBorder="1" applyAlignment="1">
      <alignment horizontal="right"/>
    </xf>
    <xf numFmtId="4" fontId="22" fillId="6" borderId="21" xfId="0" applyNumberFormat="1" applyFont="1" applyFill="1" applyBorder="1" applyAlignment="1">
      <alignment horizontal="right"/>
    </xf>
    <xf numFmtId="4" fontId="35" fillId="5" borderId="20" xfId="8" applyNumberFormat="1" applyFont="1" applyFill="1" applyBorder="1" applyAlignment="1">
      <alignment horizontal="right"/>
    </xf>
    <xf numFmtId="0" fontId="30" fillId="0" borderId="9" xfId="0" applyFont="1" applyBorder="1"/>
    <xf numFmtId="0" fontId="37" fillId="0" borderId="9" xfId="9" applyFont="1" applyBorder="1"/>
    <xf numFmtId="0" fontId="39" fillId="0" borderId="9" xfId="0" applyFont="1" applyBorder="1"/>
    <xf numFmtId="4" fontId="28" fillId="0" borderId="10" xfId="0" applyNumberFormat="1" applyFont="1" applyBorder="1" applyAlignment="1">
      <alignment horizontal="right"/>
    </xf>
    <xf numFmtId="4" fontId="38" fillId="6" borderId="22" xfId="0" applyNumberFormat="1" applyFont="1" applyFill="1" applyBorder="1" applyAlignment="1">
      <alignment horizontal="right"/>
    </xf>
    <xf numFmtId="4" fontId="29" fillId="6" borderId="21" xfId="0" applyNumberFormat="1" applyFont="1" applyFill="1" applyBorder="1" applyAlignment="1">
      <alignment horizontal="right"/>
    </xf>
    <xf numFmtId="4" fontId="29" fillId="7" borderId="21" xfId="0" applyNumberFormat="1" applyFont="1" applyFill="1" applyBorder="1" applyAlignment="1">
      <alignment horizontal="right"/>
    </xf>
    <xf numFmtId="0" fontId="22" fillId="0" borderId="10" xfId="0" applyFont="1" applyBorder="1"/>
    <xf numFmtId="4" fontId="29" fillId="6" borderId="21" xfId="0" applyNumberFormat="1" applyFont="1" applyFill="1" applyBorder="1"/>
    <xf numFmtId="4" fontId="22" fillId="0" borderId="9" xfId="0" applyNumberFormat="1" applyFont="1" applyBorder="1"/>
    <xf numFmtId="0" fontId="22" fillId="0" borderId="8" xfId="0" applyFont="1" applyBorder="1" applyAlignment="1">
      <alignment vertical="center" wrapText="1"/>
    </xf>
    <xf numFmtId="4" fontId="22" fillId="0" borderId="10" xfId="0" applyNumberFormat="1" applyFont="1" applyBorder="1" applyAlignment="1">
      <alignment horizontal="right" vertical="center" wrapText="1"/>
    </xf>
    <xf numFmtId="4" fontId="29" fillId="6" borderId="21" xfId="0" applyNumberFormat="1" applyFont="1" applyFill="1" applyBorder="1" applyAlignment="1">
      <alignment horizontal="right" vertical="center" wrapText="1"/>
    </xf>
    <xf numFmtId="0" fontId="22" fillId="0" borderId="9" xfId="0" applyFont="1" applyBorder="1" applyAlignment="1">
      <alignment vertical="center" wrapText="1"/>
    </xf>
    <xf numFmtId="0" fontId="22" fillId="0" borderId="23" xfId="0" applyFont="1" applyBorder="1"/>
    <xf numFmtId="0" fontId="30" fillId="0" borderId="24" xfId="0" applyFont="1" applyBorder="1"/>
    <xf numFmtId="4" fontId="22" fillId="0" borderId="25" xfId="0" applyNumberFormat="1" applyFont="1" applyBorder="1" applyAlignment="1">
      <alignment horizontal="right"/>
    </xf>
    <xf numFmtId="0" fontId="22" fillId="0" borderId="24" xfId="0" applyFont="1" applyBorder="1"/>
    <xf numFmtId="4" fontId="29" fillId="6" borderId="22" xfId="0" applyNumberFormat="1" applyFont="1" applyFill="1" applyBorder="1" applyAlignment="1">
      <alignment horizontal="right"/>
    </xf>
    <xf numFmtId="4" fontId="26" fillId="5" borderId="18" xfId="8" applyNumberFormat="1" applyFont="1" applyFill="1" applyBorder="1" applyAlignment="1">
      <alignment horizontal="center" wrapText="1"/>
    </xf>
    <xf numFmtId="0" fontId="22" fillId="0" borderId="26" xfId="0" applyFont="1" applyBorder="1"/>
    <xf numFmtId="166" fontId="30" fillId="0" borderId="27" xfId="0" applyNumberFormat="1" applyFont="1" applyBorder="1"/>
    <xf numFmtId="4" fontId="22" fillId="0" borderId="28" xfId="0" applyNumberFormat="1" applyFont="1" applyBorder="1" applyAlignment="1">
      <alignment horizontal="right"/>
    </xf>
    <xf numFmtId="0" fontId="22" fillId="6" borderId="19" xfId="0" applyFont="1" applyFill="1" applyBorder="1" applyAlignment="1">
      <alignment horizontal="center" wrapText="1"/>
    </xf>
    <xf numFmtId="0" fontId="22" fillId="0" borderId="27" xfId="0" applyFont="1" applyBorder="1"/>
    <xf numFmtId="4" fontId="28" fillId="6" borderId="22" xfId="0" applyNumberFormat="1" applyFont="1" applyFill="1" applyBorder="1" applyAlignment="1">
      <alignment horizontal="right"/>
    </xf>
    <xf numFmtId="4" fontId="22" fillId="6" borderId="22" xfId="0" applyNumberFormat="1" applyFont="1" applyFill="1" applyBorder="1" applyAlignment="1">
      <alignment horizontal="right"/>
    </xf>
    <xf numFmtId="0" fontId="22" fillId="0" borderId="26" xfId="0" applyFont="1" applyBorder="1" applyAlignment="1">
      <alignment wrapText="1"/>
    </xf>
    <xf numFmtId="0" fontId="22" fillId="0" borderId="28" xfId="0" applyFont="1" applyBorder="1" applyAlignment="1">
      <alignment horizontal="right" wrapText="1"/>
    </xf>
    <xf numFmtId="0" fontId="22" fillId="0" borderId="27" xfId="0" applyFont="1" applyBorder="1" applyAlignment="1">
      <alignment wrapText="1"/>
    </xf>
    <xf numFmtId="166" fontId="22" fillId="0" borderId="8" xfId="0" applyNumberFormat="1" applyFont="1" applyBorder="1"/>
    <xf numFmtId="0" fontId="0" fillId="0" borderId="9" xfId="0" applyBorder="1"/>
    <xf numFmtId="166" fontId="22" fillId="0" borderId="10" xfId="0" applyNumberFormat="1" applyFont="1" applyBorder="1" applyAlignment="1">
      <alignment horizontal="right"/>
    </xf>
    <xf numFmtId="166" fontId="22" fillId="6" borderId="21" xfId="0" applyNumberFormat="1" applyFont="1" applyFill="1" applyBorder="1" applyAlignment="1">
      <alignment horizontal="center" vertical="center"/>
    </xf>
    <xf numFmtId="166" fontId="22" fillId="0" borderId="9" xfId="0" applyNumberFormat="1" applyFont="1" applyBorder="1"/>
    <xf numFmtId="4" fontId="26" fillId="5" borderId="29" xfId="8" applyNumberFormat="1" applyFont="1" applyFill="1" applyBorder="1" applyAlignment="1">
      <alignment horizontal="center" vertical="center" wrapText="1"/>
    </xf>
    <xf numFmtId="0" fontId="22" fillId="0" borderId="8" xfId="0" applyFont="1" applyBorder="1" applyAlignment="1">
      <alignment wrapText="1"/>
    </xf>
    <xf numFmtId="0" fontId="30" fillId="0" borderId="9" xfId="0" applyFont="1" applyBorder="1" applyAlignment="1">
      <alignment wrapText="1"/>
    </xf>
    <xf numFmtId="0" fontId="22" fillId="0" borderId="10" xfId="0" applyFont="1" applyBorder="1" applyAlignment="1">
      <alignment horizontal="right" wrapText="1"/>
    </xf>
    <xf numFmtId="0" fontId="22" fillId="6" borderId="30" xfId="0" applyFont="1" applyFill="1" applyBorder="1" applyAlignment="1">
      <alignment horizontal="center" vertical="center" wrapText="1"/>
    </xf>
    <xf numFmtId="0" fontId="22" fillId="0" borderId="9" xfId="0" applyFont="1" applyBorder="1" applyAlignment="1">
      <alignment wrapText="1"/>
    </xf>
    <xf numFmtId="0" fontId="26" fillId="0" borderId="9" xfId="0" applyFont="1" applyBorder="1" applyAlignment="1">
      <alignment wrapText="1"/>
    </xf>
    <xf numFmtId="4" fontId="22" fillId="6" borderId="31" xfId="0" applyNumberFormat="1" applyFont="1" applyFill="1" applyBorder="1" applyAlignment="1">
      <alignment horizontal="right"/>
    </xf>
    <xf numFmtId="4" fontId="38" fillId="5" borderId="32" xfId="8" applyNumberFormat="1" applyFont="1" applyFill="1" applyBorder="1" applyAlignment="1">
      <alignment horizontal="right"/>
    </xf>
    <xf numFmtId="166" fontId="26" fillId="5" borderId="20" xfId="8" applyNumberFormat="1" applyFont="1" applyFill="1" applyBorder="1" applyAlignment="1">
      <alignment horizontal="center" vertical="center"/>
    </xf>
    <xf numFmtId="166" fontId="22" fillId="0" borderId="12" xfId="0" applyNumberFormat="1" applyFont="1" applyBorder="1" applyAlignment="1">
      <alignment horizontal="right"/>
    </xf>
    <xf numFmtId="4" fontId="22" fillId="0" borderId="8" xfId="0" applyNumberFormat="1" applyFont="1" applyBorder="1" applyAlignment="1">
      <alignment horizontal="right"/>
    </xf>
    <xf numFmtId="0" fontId="28" fillId="0" borderId="9" xfId="0" applyFont="1" applyBorder="1" applyAlignment="1">
      <alignment wrapText="1"/>
    </xf>
    <xf numFmtId="4" fontId="22" fillId="0" borderId="12" xfId="0" applyNumberFormat="1" applyFont="1" applyBorder="1"/>
    <xf numFmtId="4" fontId="29" fillId="0" borderId="11" xfId="0" applyNumberFormat="1" applyFont="1" applyBorder="1" applyAlignment="1">
      <alignment horizontal="right"/>
    </xf>
    <xf numFmtId="4" fontId="26" fillId="0" borderId="11" xfId="0" applyNumberFormat="1" applyFont="1" applyBorder="1" applyAlignment="1">
      <alignment horizontal="right"/>
    </xf>
    <xf numFmtId="0" fontId="26" fillId="0" borderId="8" xfId="0" applyFont="1" applyBorder="1"/>
    <xf numFmtId="4" fontId="26" fillId="0" borderId="10" xfId="0" applyNumberFormat="1" applyFont="1" applyBorder="1" applyAlignment="1">
      <alignment horizontal="right"/>
    </xf>
    <xf numFmtId="4" fontId="26" fillId="0" borderId="8" xfId="0" applyNumberFormat="1" applyFont="1" applyBorder="1" applyAlignment="1">
      <alignment horizontal="right"/>
    </xf>
    <xf numFmtId="0" fontId="26" fillId="0" borderId="9" xfId="0" applyFont="1" applyBorder="1"/>
    <xf numFmtId="4" fontId="28" fillId="0" borderId="2" xfId="0" applyNumberFormat="1" applyFont="1" applyBorder="1" applyAlignment="1">
      <alignment horizontal="right"/>
    </xf>
    <xf numFmtId="4" fontId="22" fillId="0" borderId="12" xfId="0" applyNumberFormat="1" applyFont="1" applyBorder="1" applyAlignment="1">
      <alignment horizontal="right"/>
    </xf>
    <xf numFmtId="0" fontId="22" fillId="0" borderId="12" xfId="0" applyFont="1" applyBorder="1" applyAlignment="1">
      <alignment horizontal="right"/>
    </xf>
    <xf numFmtId="4" fontId="22" fillId="0" borderId="11" xfId="0" applyNumberFormat="1" applyFont="1" applyBorder="1" applyAlignment="1">
      <alignment horizontal="right"/>
    </xf>
    <xf numFmtId="164" fontId="13" fillId="0" borderId="2" xfId="3" applyNumberFormat="1" applyFont="1" applyFill="1" applyBorder="1" applyAlignment="1">
      <alignment horizontal="left"/>
    </xf>
    <xf numFmtId="44" fontId="23" fillId="0" borderId="0" xfId="3" applyFont="1" applyFill="1" applyBorder="1"/>
    <xf numFmtId="44" fontId="21" fillId="0" borderId="4" xfId="3" applyFont="1" applyFill="1" applyBorder="1"/>
    <xf numFmtId="164" fontId="17" fillId="0" borderId="2" xfId="3" applyNumberFormat="1" applyFont="1" applyFill="1" applyBorder="1" applyAlignment="1">
      <alignment horizontal="right"/>
    </xf>
    <xf numFmtId="164" fontId="18" fillId="0" borderId="2" xfId="3" applyNumberFormat="1" applyFont="1" applyFill="1" applyBorder="1" applyAlignment="1">
      <alignment horizontal="right"/>
    </xf>
    <xf numFmtId="14" fontId="5" fillId="0" borderId="0" xfId="0" applyNumberFormat="1" applyFont="1" applyAlignment="1">
      <alignment horizontal="center"/>
    </xf>
    <xf numFmtId="4" fontId="22" fillId="0" borderId="11" xfId="0" applyNumberFormat="1" applyFont="1" applyBorder="1"/>
    <xf numFmtId="4" fontId="31" fillId="6" borderId="17" xfId="0" applyNumberFormat="1" applyFont="1" applyFill="1" applyBorder="1" applyAlignment="1">
      <alignment horizontal="right"/>
    </xf>
    <xf numFmtId="0" fontId="23" fillId="9" borderId="0" xfId="0" applyFont="1" applyFill="1"/>
    <xf numFmtId="0" fontId="21" fillId="9" borderId="0" xfId="0" applyFont="1" applyFill="1"/>
    <xf numFmtId="4" fontId="28" fillId="0" borderId="34" xfId="0" applyNumberFormat="1" applyFont="1" applyBorder="1" applyAlignment="1">
      <alignment horizontal="right"/>
    </xf>
    <xf numFmtId="0" fontId="28" fillId="0" borderId="26" xfId="0" applyFont="1" applyBorder="1"/>
    <xf numFmtId="0" fontId="12" fillId="0" borderId="26" xfId="0" applyFont="1" applyBorder="1"/>
    <xf numFmtId="4" fontId="28" fillId="0" borderId="28" xfId="0" applyNumberFormat="1" applyFont="1" applyBorder="1" applyAlignment="1">
      <alignment horizontal="right"/>
    </xf>
    <xf numFmtId="4" fontId="28" fillId="0" borderId="26" xfId="0" applyNumberFormat="1" applyFont="1" applyBorder="1" applyAlignment="1">
      <alignment horizontal="right"/>
    </xf>
    <xf numFmtId="0" fontId="12" fillId="0" borderId="27" xfId="0" applyFont="1" applyBorder="1"/>
    <xf numFmtId="4" fontId="26" fillId="8" borderId="37" xfId="8" applyNumberFormat="1" applyFont="1" applyFill="1" applyBorder="1" applyAlignment="1">
      <alignment horizontal="center" vertical="center" wrapText="1"/>
    </xf>
    <xf numFmtId="166" fontId="26" fillId="4" borderId="38" xfId="8" applyNumberFormat="1" applyFont="1" applyBorder="1" applyAlignment="1">
      <alignment horizontal="center" vertical="center"/>
    </xf>
    <xf numFmtId="4" fontId="26" fillId="4" borderId="39" xfId="8" applyNumberFormat="1" applyFont="1" applyBorder="1" applyAlignment="1">
      <alignment horizontal="center" wrapText="1"/>
    </xf>
    <xf numFmtId="4" fontId="26" fillId="4" borderId="40" xfId="8" applyNumberFormat="1" applyFont="1" applyBorder="1" applyAlignment="1">
      <alignment horizontal="right"/>
    </xf>
    <xf numFmtId="4" fontId="26" fillId="4" borderId="41" xfId="8" applyNumberFormat="1" applyFont="1" applyBorder="1" applyAlignment="1">
      <alignment horizontal="right"/>
    </xf>
    <xf numFmtId="4" fontId="26" fillId="4" borderId="38" xfId="8" applyNumberFormat="1" applyFont="1" applyBorder="1" applyAlignment="1">
      <alignment horizontal="right"/>
    </xf>
    <xf numFmtId="4" fontId="26" fillId="4" borderId="39" xfId="8" applyNumberFormat="1" applyFont="1" applyBorder="1" applyAlignment="1">
      <alignment horizontal="right"/>
    </xf>
    <xf numFmtId="4" fontId="26" fillId="4" borderId="42" xfId="8" applyNumberFormat="1" applyFont="1" applyBorder="1" applyAlignment="1">
      <alignment horizontal="right"/>
    </xf>
    <xf numFmtId="4" fontId="31" fillId="4" borderId="40" xfId="8" applyNumberFormat="1" applyFont="1" applyBorder="1" applyAlignment="1">
      <alignment horizontal="right"/>
    </xf>
    <xf numFmtId="4" fontId="29" fillId="4" borderId="40" xfId="8" applyNumberFormat="1" applyFont="1" applyBorder="1" applyAlignment="1">
      <alignment horizontal="right" vertical="center" wrapText="1"/>
    </xf>
    <xf numFmtId="4" fontId="29" fillId="4" borderId="38" xfId="8" applyNumberFormat="1" applyFont="1" applyBorder="1" applyAlignment="1">
      <alignment horizontal="right" vertical="center" wrapText="1"/>
    </xf>
    <xf numFmtId="4" fontId="29" fillId="4" borderId="38" xfId="8" applyNumberFormat="1" applyFont="1" applyBorder="1"/>
    <xf numFmtId="4" fontId="29" fillId="4" borderId="38" xfId="8" applyNumberFormat="1" applyFont="1" applyBorder="1" applyAlignment="1">
      <alignment horizontal="right"/>
    </xf>
    <xf numFmtId="4" fontId="38" fillId="4" borderId="40" xfId="8" applyNumberFormat="1" applyFont="1" applyBorder="1" applyAlignment="1">
      <alignment horizontal="right"/>
    </xf>
    <xf numFmtId="4" fontId="35" fillId="4" borderId="38" xfId="8" applyNumberFormat="1" applyFont="1" applyBorder="1" applyAlignment="1">
      <alignment horizontal="right"/>
    </xf>
    <xf numFmtId="4" fontId="29" fillId="4" borderId="39" xfId="8" applyNumberFormat="1" applyFont="1" applyBorder="1" applyAlignment="1">
      <alignment horizontal="right"/>
    </xf>
    <xf numFmtId="4" fontId="33" fillId="4" borderId="43" xfId="8" applyNumberFormat="1" applyFont="1" applyBorder="1" applyAlignment="1">
      <alignment horizontal="right"/>
    </xf>
    <xf numFmtId="4" fontId="22" fillId="0" borderId="44" xfId="0" applyNumberFormat="1" applyFont="1" applyBorder="1" applyAlignment="1">
      <alignment horizontal="right"/>
    </xf>
    <xf numFmtId="166" fontId="22" fillId="0" borderId="36" xfId="0" applyNumberFormat="1" applyFont="1" applyBorder="1" applyAlignment="1">
      <alignment horizontal="right"/>
    </xf>
    <xf numFmtId="4" fontId="22" fillId="0" borderId="36" xfId="0" applyNumberFormat="1" applyFont="1" applyBorder="1"/>
    <xf numFmtId="4" fontId="22" fillId="0" borderId="45" xfId="0" applyNumberFormat="1" applyFont="1" applyBorder="1"/>
    <xf numFmtId="4" fontId="29" fillId="0" borderId="45" xfId="0" applyNumberFormat="1" applyFont="1" applyBorder="1" applyAlignment="1">
      <alignment horizontal="right"/>
    </xf>
    <xf numFmtId="4" fontId="26" fillId="0" borderId="45" xfId="0" applyNumberFormat="1" applyFont="1" applyBorder="1" applyAlignment="1">
      <alignment horizontal="right"/>
    </xf>
    <xf numFmtId="4" fontId="28" fillId="0" borderId="43" xfId="0" applyNumberFormat="1" applyFont="1" applyBorder="1" applyAlignment="1">
      <alignment horizontal="right"/>
    </xf>
    <xf numFmtId="4" fontId="22" fillId="0" borderId="36" xfId="0" applyNumberFormat="1" applyFont="1" applyBorder="1" applyAlignment="1">
      <alignment horizontal="right"/>
    </xf>
    <xf numFmtId="4" fontId="22" fillId="0" borderId="45" xfId="0" applyNumberFormat="1" applyFont="1" applyBorder="1" applyAlignment="1">
      <alignment horizontal="right"/>
    </xf>
    <xf numFmtId="4" fontId="22" fillId="0" borderId="42" xfId="0" applyNumberFormat="1" applyFont="1" applyBorder="1" applyAlignment="1">
      <alignment horizontal="right"/>
    </xf>
    <xf numFmtId="4" fontId="28" fillId="0" borderId="35" xfId="0" applyNumberFormat="1" applyFont="1" applyBorder="1" applyAlignment="1">
      <alignment horizontal="right"/>
    </xf>
    <xf numFmtId="10" fontId="26" fillId="10" borderId="46" xfId="0" applyNumberFormat="1" applyFont="1" applyFill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43" fontId="0" fillId="0" borderId="54" xfId="1" applyFont="1" applyBorder="1"/>
    <xf numFmtId="43" fontId="0" fillId="0" borderId="63" xfId="1" applyFont="1" applyBorder="1"/>
    <xf numFmtId="0" fontId="10" fillId="0" borderId="0" xfId="10" applyFont="1"/>
    <xf numFmtId="0" fontId="41" fillId="0" borderId="1" xfId="10" applyFont="1" applyBorder="1" applyAlignment="1">
      <alignment horizontal="left" vertical="center"/>
    </xf>
    <xf numFmtId="43" fontId="41" fillId="0" borderId="1" xfId="1" applyFont="1" applyBorder="1" applyAlignment="1">
      <alignment wrapText="1"/>
    </xf>
    <xf numFmtId="44" fontId="20" fillId="0" borderId="1" xfId="1" applyNumberFormat="1" applyFont="1" applyBorder="1" applyAlignment="1">
      <alignment horizontal="right" indent="1"/>
    </xf>
    <xf numFmtId="44" fontId="43" fillId="0" borderId="1" xfId="1" applyNumberFormat="1" applyFont="1" applyBorder="1" applyAlignment="1">
      <alignment horizontal="right"/>
    </xf>
    <xf numFmtId="44" fontId="43" fillId="0" borderId="1" xfId="1" applyNumberFormat="1" applyFont="1" applyBorder="1"/>
    <xf numFmtId="44" fontId="43" fillId="0" borderId="1" xfId="1" applyNumberFormat="1" applyFont="1" applyFill="1" applyBorder="1"/>
    <xf numFmtId="43" fontId="43" fillId="0" borderId="1" xfId="1" applyFont="1" applyBorder="1"/>
    <xf numFmtId="0" fontId="43" fillId="0" borderId="1" xfId="10" applyFont="1" applyBorder="1"/>
    <xf numFmtId="165" fontId="41" fillId="15" borderId="1" xfId="1" applyNumberFormat="1" applyFont="1" applyFill="1" applyBorder="1" applyAlignment="1">
      <alignment horizontal="center" vertical="center" wrapText="1"/>
    </xf>
    <xf numFmtId="0" fontId="41" fillId="15" borderId="1" xfId="10" applyFont="1" applyFill="1" applyBorder="1" applyAlignment="1">
      <alignment horizontal="center" vertical="center" wrapText="1"/>
    </xf>
    <xf numFmtId="0" fontId="42" fillId="15" borderId="1" xfId="10" applyFont="1" applyFill="1" applyBorder="1" applyAlignment="1">
      <alignment horizontal="center" vertical="center" wrapText="1"/>
    </xf>
    <xf numFmtId="167" fontId="42" fillId="15" borderId="1" xfId="10" quotePrefix="1" applyNumberFormat="1" applyFont="1" applyFill="1" applyBorder="1" applyAlignment="1">
      <alignment horizontal="center" vertical="center" wrapText="1"/>
    </xf>
    <xf numFmtId="43" fontId="41" fillId="15" borderId="1" xfId="1" applyFont="1" applyFill="1" applyBorder="1" applyAlignment="1">
      <alignment horizontal="center" vertical="center" wrapText="1"/>
    </xf>
    <xf numFmtId="43" fontId="41" fillId="15" borderId="1" xfId="1" applyFont="1" applyFill="1" applyBorder="1" applyAlignment="1">
      <alignment vertical="center" wrapText="1"/>
    </xf>
    <xf numFmtId="0" fontId="41" fillId="16" borderId="1" xfId="10" applyFont="1" applyFill="1" applyBorder="1" applyAlignment="1">
      <alignment horizontal="left"/>
    </xf>
    <xf numFmtId="44" fontId="42" fillId="16" borderId="1" xfId="1" applyNumberFormat="1" applyFont="1" applyFill="1" applyBorder="1"/>
    <xf numFmtId="43" fontId="42" fillId="16" borderId="1" xfId="1" applyFont="1" applyFill="1" applyBorder="1"/>
    <xf numFmtId="43" fontId="41" fillId="16" borderId="1" xfId="1" applyFont="1" applyFill="1" applyBorder="1" applyAlignment="1">
      <alignment wrapText="1"/>
    </xf>
    <xf numFmtId="0" fontId="0" fillId="5" borderId="1" xfId="0" applyFill="1" applyBorder="1"/>
    <xf numFmtId="44" fontId="0" fillId="5" borderId="1" xfId="0" applyNumberFormat="1" applyFill="1" applyBorder="1"/>
    <xf numFmtId="44" fontId="0" fillId="0" borderId="1" xfId="0" applyNumberFormat="1" applyBorder="1"/>
    <xf numFmtId="0" fontId="46" fillId="5" borderId="1" xfId="0" applyFont="1" applyFill="1" applyBorder="1"/>
    <xf numFmtId="44" fontId="46" fillId="5" borderId="1" xfId="0" applyNumberFormat="1" applyFont="1" applyFill="1" applyBorder="1"/>
    <xf numFmtId="0" fontId="46" fillId="18" borderId="1" xfId="0" applyFont="1" applyFill="1" applyBorder="1"/>
    <xf numFmtId="44" fontId="46" fillId="18" borderId="1" xfId="0" applyNumberFormat="1" applyFont="1" applyFill="1" applyBorder="1"/>
    <xf numFmtId="0" fontId="0" fillId="19" borderId="1" xfId="0" applyFill="1" applyBorder="1"/>
    <xf numFmtId="44" fontId="0" fillId="19" borderId="1" xfId="0" applyNumberFormat="1" applyFill="1" applyBorder="1"/>
    <xf numFmtId="0" fontId="47" fillId="19" borderId="65" xfId="0" applyFont="1" applyFill="1" applyBorder="1"/>
    <xf numFmtId="44" fontId="47" fillId="19" borderId="65" xfId="0" applyNumberFormat="1" applyFont="1" applyFill="1" applyBorder="1"/>
    <xf numFmtId="43" fontId="20" fillId="0" borderId="1" xfId="1" applyFont="1" applyBorder="1" applyAlignment="1">
      <alignment wrapText="1"/>
    </xf>
    <xf numFmtId="0" fontId="43" fillId="0" borderId="1" xfId="10" applyFont="1" applyBorder="1" applyAlignment="1">
      <alignment wrapText="1"/>
    </xf>
    <xf numFmtId="44" fontId="43" fillId="0" borderId="1" xfId="1" applyNumberFormat="1" applyFont="1" applyBorder="1" applyAlignment="1">
      <alignment horizontal="right" vertical="center"/>
    </xf>
    <xf numFmtId="44" fontId="43" fillId="0" borderId="1" xfId="1" applyNumberFormat="1" applyFont="1" applyBorder="1" applyAlignment="1">
      <alignment vertical="center"/>
    </xf>
    <xf numFmtId="44" fontId="43" fillId="0" borderId="1" xfId="1" applyNumberFormat="1" applyFont="1" applyFill="1" applyBorder="1" applyAlignment="1">
      <alignment vertical="center"/>
    </xf>
    <xf numFmtId="0" fontId="41" fillId="17" borderId="1" xfId="10" applyFont="1" applyFill="1" applyBorder="1" applyAlignment="1">
      <alignment horizontal="left"/>
    </xf>
    <xf numFmtId="44" fontId="41" fillId="17" borderId="1" xfId="1" applyNumberFormat="1" applyFont="1" applyFill="1" applyBorder="1" applyAlignment="1">
      <alignment horizontal="left"/>
    </xf>
    <xf numFmtId="44" fontId="42" fillId="17" borderId="1" xfId="10" quotePrefix="1" applyNumberFormat="1" applyFont="1" applyFill="1" applyBorder="1" applyAlignment="1">
      <alignment wrapText="1"/>
    </xf>
    <xf numFmtId="44" fontId="20" fillId="0" borderId="1" xfId="1" applyNumberFormat="1" applyFont="1" applyBorder="1" applyAlignment="1">
      <alignment horizontal="left" indent="1"/>
    </xf>
    <xf numFmtId="44" fontId="43" fillId="0" borderId="1" xfId="10" applyNumberFormat="1" applyFont="1" applyBorder="1"/>
    <xf numFmtId="0" fontId="0" fillId="0" borderId="58" xfId="0" applyBorder="1"/>
    <xf numFmtId="0" fontId="41" fillId="11" borderId="49" xfId="0" applyFont="1" applyFill="1" applyBorder="1" applyAlignment="1">
      <alignment horizontal="center"/>
    </xf>
    <xf numFmtId="14" fontId="41" fillId="0" borderId="51" xfId="0" applyNumberFormat="1" applyFont="1" applyBorder="1" applyAlignment="1">
      <alignment vertical="center" wrapText="1"/>
    </xf>
    <xf numFmtId="0" fontId="41" fillId="11" borderId="52" xfId="0" applyFont="1" applyFill="1" applyBorder="1" applyAlignment="1">
      <alignment horizontal="center"/>
    </xf>
    <xf numFmtId="14" fontId="41" fillId="0" borderId="54" xfId="0" applyNumberFormat="1" applyFont="1" applyBorder="1" applyAlignment="1">
      <alignment vertical="center" wrapText="1"/>
    </xf>
    <xf numFmtId="0" fontId="41" fillId="11" borderId="55" xfId="0" applyFont="1" applyFill="1" applyBorder="1" applyAlignment="1">
      <alignment horizontal="center" vertical="top"/>
    </xf>
    <xf numFmtId="43" fontId="41" fillId="11" borderId="56" xfId="1" applyFont="1" applyFill="1" applyBorder="1" applyAlignment="1">
      <alignment vertical="center"/>
    </xf>
    <xf numFmtId="43" fontId="41" fillId="12" borderId="57" xfId="1" applyFont="1" applyFill="1" applyBorder="1" applyAlignment="1">
      <alignment vertical="center"/>
    </xf>
    <xf numFmtId="0" fontId="41" fillId="0" borderId="58" xfId="0" applyFont="1" applyBorder="1"/>
    <xf numFmtId="43" fontId="41" fillId="12" borderId="59" xfId="1" applyFont="1" applyFill="1" applyBorder="1"/>
    <xf numFmtId="43" fontId="41" fillId="12" borderId="54" xfId="1" applyFont="1" applyFill="1" applyBorder="1" applyAlignment="1">
      <alignment vertical="center"/>
    </xf>
    <xf numFmtId="0" fontId="20" fillId="0" borderId="58" xfId="0" applyFont="1" applyBorder="1"/>
    <xf numFmtId="43" fontId="41" fillId="11" borderId="60" xfId="1" applyFont="1" applyFill="1" applyBorder="1"/>
    <xf numFmtId="43" fontId="41" fillId="11" borderId="59" xfId="1" applyFont="1" applyFill="1" applyBorder="1"/>
    <xf numFmtId="43" fontId="20" fillId="11" borderId="59" xfId="1" applyFont="1" applyFill="1" applyBorder="1"/>
    <xf numFmtId="9" fontId="42" fillId="14" borderId="1" xfId="7" applyFont="1" applyFill="1" applyBorder="1" applyAlignment="1">
      <alignment horizontal="right"/>
    </xf>
    <xf numFmtId="0" fontId="46" fillId="20" borderId="35" xfId="0" applyFont="1" applyFill="1" applyBorder="1"/>
    <xf numFmtId="44" fontId="0" fillId="20" borderId="34" xfId="0" applyNumberFormat="1" applyFill="1" applyBorder="1"/>
    <xf numFmtId="0" fontId="0" fillId="20" borderId="34" xfId="0" applyFill="1" applyBorder="1"/>
    <xf numFmtId="0" fontId="0" fillId="20" borderId="64" xfId="0" applyFill="1" applyBorder="1"/>
    <xf numFmtId="0" fontId="0" fillId="2" borderId="0" xfId="0" applyFill="1"/>
    <xf numFmtId="44" fontId="0" fillId="2" borderId="0" xfId="0" applyNumberFormat="1" applyFill="1"/>
    <xf numFmtId="0" fontId="12" fillId="2" borderId="1" xfId="0" applyFont="1" applyFill="1" applyBorder="1" applyAlignment="1">
      <alignment horizontal="center"/>
    </xf>
    <xf numFmtId="43" fontId="48" fillId="0" borderId="1" xfId="1" applyFont="1" applyBorder="1" applyAlignment="1">
      <alignment wrapText="1"/>
    </xf>
    <xf numFmtId="43" fontId="0" fillId="0" borderId="54" xfId="1" applyFont="1" applyFill="1" applyBorder="1" applyAlignment="1">
      <alignment wrapText="1"/>
    </xf>
    <xf numFmtId="0" fontId="11" fillId="0" borderId="1" xfId="0" applyFont="1" applyBorder="1"/>
    <xf numFmtId="0" fontId="41" fillId="0" borderId="1" xfId="10" applyFont="1" applyBorder="1" applyAlignment="1">
      <alignment horizontal="left"/>
    </xf>
    <xf numFmtId="0" fontId="42" fillId="0" borderId="1" xfId="10" applyFont="1" applyBorder="1" applyAlignment="1">
      <alignment horizontal="center" wrapText="1"/>
    </xf>
    <xf numFmtId="3" fontId="43" fillId="0" borderId="1" xfId="10" applyNumberFormat="1" applyFont="1" applyBorder="1"/>
    <xf numFmtId="0" fontId="41" fillId="13" borderId="1" xfId="10" applyFont="1" applyFill="1" applyBorder="1" applyAlignment="1">
      <alignment horizontal="left"/>
    </xf>
    <xf numFmtId="44" fontId="43" fillId="13" borderId="1" xfId="10" applyNumberFormat="1" applyFont="1" applyFill="1" applyBorder="1"/>
    <xf numFmtId="0" fontId="41" fillId="13" borderId="1" xfId="10" applyFont="1" applyFill="1" applyBorder="1" applyAlignment="1">
      <alignment horizontal="left" wrapText="1"/>
    </xf>
    <xf numFmtId="0" fontId="20" fillId="0" borderId="1" xfId="10" applyFont="1" applyBorder="1" applyAlignment="1">
      <alignment horizontal="left" indent="1"/>
    </xf>
    <xf numFmtId="44" fontId="20" fillId="0" borderId="1" xfId="10" applyNumberFormat="1" applyFont="1" applyBorder="1" applyAlignment="1">
      <alignment horizontal="left" indent="1"/>
    </xf>
    <xf numFmtId="44" fontId="42" fillId="0" borderId="1" xfId="10" applyNumberFormat="1" applyFont="1" applyBorder="1"/>
    <xf numFmtId="0" fontId="41" fillId="14" borderId="1" xfId="10" applyFont="1" applyFill="1" applyBorder="1" applyAlignment="1">
      <alignment horizontal="left"/>
    </xf>
    <xf numFmtId="44" fontId="42" fillId="14" borderId="1" xfId="10" applyNumberFormat="1" applyFont="1" applyFill="1" applyBorder="1"/>
    <xf numFmtId="0" fontId="20" fillId="14" borderId="1" xfId="10" applyFont="1" applyFill="1" applyBorder="1" applyAlignment="1">
      <alignment horizontal="left" indent="1"/>
    </xf>
    <xf numFmtId="44" fontId="20" fillId="14" borderId="1" xfId="10" applyNumberFormat="1" applyFont="1" applyFill="1" applyBorder="1" applyAlignment="1">
      <alignment horizontal="left" indent="1"/>
    </xf>
    <xf numFmtId="9" fontId="42" fillId="14" borderId="1" xfId="13" applyFont="1" applyFill="1" applyBorder="1"/>
    <xf numFmtId="44" fontId="43" fillId="0" borderId="1" xfId="13" applyNumberFormat="1" applyFont="1" applyFill="1" applyBorder="1" applyAlignment="1">
      <alignment horizontal="right"/>
    </xf>
    <xf numFmtId="0" fontId="20" fillId="13" borderId="1" xfId="10" applyFont="1" applyFill="1" applyBorder="1" applyAlignment="1">
      <alignment horizontal="left" indent="1"/>
    </xf>
    <xf numFmtId="44" fontId="20" fillId="13" borderId="1" xfId="10" applyNumberFormat="1" applyFont="1" applyFill="1" applyBorder="1" applyAlignment="1">
      <alignment horizontal="left" indent="1"/>
    </xf>
    <xf numFmtId="44" fontId="43" fillId="13" borderId="1" xfId="13" applyNumberFormat="1" applyFont="1" applyFill="1" applyBorder="1" applyAlignment="1">
      <alignment horizontal="right"/>
    </xf>
    <xf numFmtId="44" fontId="41" fillId="13" borderId="1" xfId="10" applyNumberFormat="1" applyFont="1" applyFill="1" applyBorder="1" applyAlignment="1">
      <alignment horizontal="left"/>
    </xf>
    <xf numFmtId="2" fontId="43" fillId="0" borderId="1" xfId="13" applyNumberFormat="1" applyFont="1" applyFill="1" applyBorder="1" applyAlignment="1">
      <alignment horizontal="right"/>
    </xf>
    <xf numFmtId="44" fontId="41" fillId="14" borderId="1" xfId="10" applyNumberFormat="1" applyFont="1" applyFill="1" applyBorder="1" applyAlignment="1">
      <alignment horizontal="left"/>
    </xf>
    <xf numFmtId="14" fontId="21" fillId="0" borderId="0" xfId="0" applyNumberFormat="1" applyFont="1"/>
    <xf numFmtId="14" fontId="23" fillId="0" borderId="0" xfId="0" applyNumberFormat="1" applyFont="1"/>
    <xf numFmtId="14" fontId="25" fillId="0" borderId="0" xfId="0" applyNumberFormat="1" applyFont="1"/>
    <xf numFmtId="44" fontId="0" fillId="0" borderId="0" xfId="0" applyNumberFormat="1"/>
    <xf numFmtId="0" fontId="30" fillId="2" borderId="9" xfId="0" applyFont="1" applyFill="1" applyBorder="1"/>
    <xf numFmtId="0" fontId="22" fillId="0" borderId="24" xfId="0" applyFont="1" applyBorder="1" applyAlignment="1">
      <alignment vertical="top"/>
    </xf>
    <xf numFmtId="4" fontId="29" fillId="6" borderId="22" xfId="0" applyNumberFormat="1" applyFont="1" applyFill="1" applyBorder="1" applyAlignment="1">
      <alignment horizontal="right" vertical="top"/>
    </xf>
    <xf numFmtId="4" fontId="29" fillId="6" borderId="31" xfId="0" applyNumberFormat="1" applyFont="1" applyFill="1" applyBorder="1" applyAlignment="1">
      <alignment horizontal="right" vertical="top"/>
    </xf>
    <xf numFmtId="0" fontId="22" fillId="0" borderId="9" xfId="0" applyFont="1" applyBorder="1" applyAlignment="1">
      <alignment vertical="top" wrapText="1"/>
    </xf>
    <xf numFmtId="4" fontId="29" fillId="6" borderId="21" xfId="0" applyNumberFormat="1" applyFont="1" applyFill="1" applyBorder="1" applyAlignment="1">
      <alignment horizontal="right" vertical="top"/>
    </xf>
    <xf numFmtId="4" fontId="31" fillId="4" borderId="35" xfId="8" applyNumberFormat="1" applyFont="1" applyBorder="1" applyAlignment="1">
      <alignment horizontal="right"/>
    </xf>
    <xf numFmtId="0" fontId="28" fillId="0" borderId="27" xfId="0" applyFont="1" applyBorder="1"/>
    <xf numFmtId="4" fontId="33" fillId="6" borderId="67" xfId="0" applyNumberFormat="1" applyFont="1" applyFill="1" applyBorder="1" applyAlignment="1">
      <alignment horizontal="right"/>
    </xf>
    <xf numFmtId="4" fontId="31" fillId="0" borderId="28" xfId="0" applyNumberFormat="1" applyFont="1" applyBorder="1" applyAlignment="1">
      <alignment horizontal="right"/>
    </xf>
    <xf numFmtId="0" fontId="22" fillId="0" borderId="27" xfId="0" applyFont="1" applyBorder="1" applyAlignment="1">
      <alignment horizontal="right"/>
    </xf>
    <xf numFmtId="0" fontId="0" fillId="0" borderId="7" xfId="0" applyBorder="1"/>
    <xf numFmtId="0" fontId="20" fillId="0" borderId="7" xfId="0" applyFont="1" applyBorder="1"/>
    <xf numFmtId="10" fontId="22" fillId="10" borderId="46" xfId="0" applyNumberFormat="1" applyFont="1" applyFill="1" applyBorder="1" applyAlignment="1">
      <alignment horizontal="right" vertical="center"/>
    </xf>
    <xf numFmtId="4" fontId="26" fillId="5" borderId="0" xfId="8" applyNumberFormat="1" applyFont="1" applyFill="1" applyBorder="1" applyAlignment="1">
      <alignment horizontal="right"/>
    </xf>
    <xf numFmtId="0" fontId="46" fillId="19" borderId="65" xfId="0" applyFont="1" applyFill="1" applyBorder="1"/>
    <xf numFmtId="44" fontId="46" fillId="19" borderId="65" xfId="0" applyNumberFormat="1" applyFont="1" applyFill="1" applyBorder="1"/>
    <xf numFmtId="4" fontId="0" fillId="0" borderId="1" xfId="0" applyNumberFormat="1" applyBorder="1"/>
    <xf numFmtId="168" fontId="20" fillId="0" borderId="1" xfId="0" applyNumberFormat="1" applyFont="1" applyBorder="1"/>
    <xf numFmtId="168" fontId="20" fillId="0" borderId="1" xfId="0" applyNumberFormat="1" applyFont="1" applyBorder="1" applyAlignment="1">
      <alignment vertical="center"/>
    </xf>
    <xf numFmtId="43" fontId="0" fillId="0" borderId="54" xfId="1" applyFont="1" applyBorder="1" applyAlignment="1">
      <alignment wrapText="1"/>
    </xf>
    <xf numFmtId="0" fontId="49" fillId="0" borderId="0" xfId="0" applyFont="1" applyAlignment="1">
      <alignment horizontal="left" vertical="center"/>
    </xf>
    <xf numFmtId="0" fontId="21" fillId="0" borderId="0" xfId="0" applyFont="1" applyAlignment="1">
      <alignment vertical="top"/>
    </xf>
    <xf numFmtId="0" fontId="49" fillId="0" borderId="0" xfId="0" applyFont="1" applyAlignment="1">
      <alignment wrapText="1"/>
    </xf>
    <xf numFmtId="0" fontId="49" fillId="0" borderId="0" xfId="0" applyFont="1"/>
    <xf numFmtId="0" fontId="50" fillId="0" borderId="0" xfId="0" applyFont="1"/>
    <xf numFmtId="3" fontId="7" fillId="9" borderId="0" xfId="0" applyNumberFormat="1" applyFont="1" applyFill="1" applyAlignment="1" applyProtection="1">
      <alignment horizontal="center"/>
      <protection locked="0"/>
    </xf>
    <xf numFmtId="0" fontId="49" fillId="9" borderId="0" xfId="0" applyFont="1" applyFill="1"/>
    <xf numFmtId="0" fontId="52" fillId="0" borderId="0" xfId="0" applyFont="1"/>
    <xf numFmtId="0" fontId="55" fillId="0" borderId="0" xfId="0" applyFont="1" applyAlignment="1">
      <alignment horizontal="left" vertical="center" indent="2"/>
    </xf>
    <xf numFmtId="0" fontId="49" fillId="0" borderId="0" xfId="0" applyFont="1" applyAlignment="1">
      <alignment horizontal="center"/>
    </xf>
    <xf numFmtId="0" fontId="56" fillId="0" borderId="0" xfId="0" applyFont="1"/>
    <xf numFmtId="0" fontId="56" fillId="0" borderId="0" xfId="0" applyFont="1" applyAlignment="1">
      <alignment horizontal="center"/>
    </xf>
    <xf numFmtId="0" fontId="56" fillId="0" borderId="0" xfId="0" applyFont="1" applyAlignment="1">
      <alignment horizontal="center" wrapText="1"/>
    </xf>
    <xf numFmtId="0" fontId="49" fillId="22" borderId="1" xfId="0" applyFont="1" applyFill="1" applyBorder="1" applyAlignment="1">
      <alignment wrapText="1"/>
    </xf>
    <xf numFmtId="0" fontId="56" fillId="0" borderId="1" xfId="0" applyFont="1" applyBorder="1" applyAlignment="1">
      <alignment wrapText="1"/>
    </xf>
    <xf numFmtId="3" fontId="7" fillId="23" borderId="68" xfId="0" applyNumberFormat="1" applyFont="1" applyFill="1" applyBorder="1" applyAlignment="1" applyProtection="1">
      <alignment horizontal="center"/>
      <protection locked="0"/>
    </xf>
    <xf numFmtId="3" fontId="49" fillId="0" borderId="0" xfId="0" applyNumberFormat="1" applyFont="1"/>
    <xf numFmtId="0" fontId="49" fillId="0" borderId="1" xfId="0" applyFont="1" applyBorder="1" applyAlignment="1">
      <alignment wrapText="1"/>
    </xf>
    <xf numFmtId="10" fontId="49" fillId="0" borderId="0" xfId="0" applyNumberFormat="1" applyFont="1"/>
    <xf numFmtId="0" fontId="49" fillId="0" borderId="0" xfId="0" applyFont="1" applyAlignment="1">
      <alignment vertical="center"/>
    </xf>
    <xf numFmtId="0" fontId="49" fillId="0" borderId="1" xfId="0" applyFont="1" applyBorder="1" applyAlignment="1">
      <alignment vertical="top" wrapText="1"/>
    </xf>
    <xf numFmtId="3" fontId="7" fillId="24" borderId="68" xfId="0" applyNumberFormat="1" applyFont="1" applyFill="1" applyBorder="1" applyAlignment="1" applyProtection="1">
      <alignment horizontal="center"/>
      <protection locked="0"/>
    </xf>
    <xf numFmtId="0" fontId="49" fillId="21" borderId="1" xfId="0" applyFont="1" applyFill="1" applyBorder="1" applyAlignment="1">
      <alignment wrapText="1"/>
    </xf>
    <xf numFmtId="0" fontId="59" fillId="0" borderId="0" xfId="0" applyFont="1"/>
    <xf numFmtId="0" fontId="49" fillId="0" borderId="0" xfId="0" applyFont="1" applyAlignment="1">
      <alignment horizontal="left" vertical="top" wrapText="1"/>
    </xf>
    <xf numFmtId="4" fontId="26" fillId="5" borderId="0" xfId="8" applyNumberFormat="1" applyFont="1" applyFill="1" applyBorder="1" applyAlignment="1">
      <alignment horizontal="center" vertical="center" wrapText="1"/>
    </xf>
    <xf numFmtId="166" fontId="26" fillId="5" borderId="0" xfId="8" applyNumberFormat="1" applyFont="1" applyFill="1" applyBorder="1" applyAlignment="1">
      <alignment horizontal="center" vertical="center"/>
    </xf>
    <xf numFmtId="4" fontId="26" fillId="5" borderId="0" xfId="8" applyNumberFormat="1" applyFont="1" applyFill="1" applyBorder="1" applyAlignment="1">
      <alignment horizontal="center" wrapText="1"/>
    </xf>
    <xf numFmtId="4" fontId="31" fillId="5" borderId="0" xfId="8" applyNumberFormat="1" applyFont="1" applyFill="1" applyBorder="1" applyAlignment="1">
      <alignment horizontal="right"/>
    </xf>
    <xf numFmtId="4" fontId="29" fillId="5" borderId="0" xfId="8" applyNumberFormat="1" applyFont="1" applyFill="1" applyBorder="1" applyAlignment="1">
      <alignment horizontal="right" vertical="center" wrapText="1"/>
    </xf>
    <xf numFmtId="4" fontId="29" fillId="5" borderId="0" xfId="8" applyNumberFormat="1" applyFont="1" applyFill="1" applyBorder="1"/>
    <xf numFmtId="4" fontId="35" fillId="5" borderId="0" xfId="8" applyNumberFormat="1" applyFont="1" applyFill="1" applyBorder="1" applyAlignment="1">
      <alignment horizontal="right"/>
    </xf>
    <xf numFmtId="4" fontId="29" fillId="5" borderId="0" xfId="8" applyNumberFormat="1" applyFont="1" applyFill="1" applyBorder="1" applyAlignment="1">
      <alignment horizontal="right"/>
    </xf>
    <xf numFmtId="0" fontId="0" fillId="2" borderId="46" xfId="0" applyFill="1" applyBorder="1"/>
    <xf numFmtId="4" fontId="31" fillId="5" borderId="4" xfId="8" applyNumberFormat="1" applyFont="1" applyFill="1" applyBorder="1" applyAlignment="1">
      <alignment horizontal="right"/>
    </xf>
    <xf numFmtId="0" fontId="0" fillId="2" borderId="71" xfId="0" applyFill="1" applyBorder="1"/>
    <xf numFmtId="4" fontId="29" fillId="5" borderId="3" xfId="8" applyNumberFormat="1" applyFont="1" applyFill="1" applyBorder="1" applyAlignment="1">
      <alignment horizontal="right" vertical="center" wrapText="1"/>
    </xf>
    <xf numFmtId="0" fontId="0" fillId="2" borderId="66" xfId="0" applyFill="1" applyBorder="1"/>
    <xf numFmtId="0" fontId="0" fillId="2" borderId="23" xfId="0" applyFill="1" applyBorder="1"/>
    <xf numFmtId="0" fontId="0" fillId="2" borderId="25" xfId="0" applyFill="1" applyBorder="1"/>
    <xf numFmtId="0" fontId="0" fillId="2" borderId="24" xfId="0" applyFill="1" applyBorder="1"/>
    <xf numFmtId="10" fontId="22" fillId="10" borderId="48" xfId="0" applyNumberFormat="1" applyFont="1" applyFill="1" applyBorder="1" applyAlignment="1">
      <alignment horizontal="right" vertical="center"/>
    </xf>
    <xf numFmtId="10" fontId="26" fillId="10" borderId="48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vertical="top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30" fillId="0" borderId="24" xfId="0" applyFont="1" applyBorder="1" applyAlignment="1">
      <alignment wrapText="1"/>
    </xf>
    <xf numFmtId="4" fontId="26" fillId="5" borderId="0" xfId="8" applyNumberFormat="1" applyFont="1" applyFill="1" applyBorder="1" applyAlignment="1">
      <alignment horizontal="right" vertical="center"/>
    </xf>
    <xf numFmtId="0" fontId="22" fillId="0" borderId="9" xfId="0" applyFont="1" applyBorder="1" applyAlignment="1">
      <alignment vertical="center"/>
    </xf>
    <xf numFmtId="4" fontId="29" fillId="6" borderId="21" xfId="0" applyNumberFormat="1" applyFont="1" applyFill="1" applyBorder="1" applyAlignment="1">
      <alignment horizontal="right" vertical="center"/>
    </xf>
    <xf numFmtId="0" fontId="22" fillId="0" borderId="24" xfId="0" applyFont="1" applyBorder="1" applyAlignment="1">
      <alignment vertical="center"/>
    </xf>
    <xf numFmtId="0" fontId="0" fillId="0" borderId="0" xfId="0" applyAlignment="1">
      <alignment vertical="center"/>
    </xf>
    <xf numFmtId="44" fontId="46" fillId="20" borderId="1" xfId="0" applyNumberFormat="1" applyFont="1" applyFill="1" applyBorder="1"/>
    <xf numFmtId="44" fontId="0" fillId="20" borderId="1" xfId="0" applyNumberFormat="1" applyFill="1" applyBorder="1"/>
    <xf numFmtId="0" fontId="45" fillId="19" borderId="34" xfId="0" applyFont="1" applyFill="1" applyBorder="1"/>
    <xf numFmtId="0" fontId="45" fillId="19" borderId="64" xfId="0" applyFont="1" applyFill="1" applyBorder="1"/>
    <xf numFmtId="0" fontId="45" fillId="5" borderId="34" xfId="0" applyFont="1" applyFill="1" applyBorder="1"/>
    <xf numFmtId="0" fontId="45" fillId="18" borderId="34" xfId="0" applyFont="1" applyFill="1" applyBorder="1"/>
    <xf numFmtId="0" fontId="45" fillId="18" borderId="64" xfId="0" applyFont="1" applyFill="1" applyBorder="1"/>
    <xf numFmtId="0" fontId="5" fillId="0" borderId="0" xfId="0" applyFont="1" applyAlignment="1">
      <alignment horizontal="left" vertical="top"/>
    </xf>
    <xf numFmtId="164" fontId="60" fillId="0" borderId="0" xfId="0" applyNumberFormat="1" applyFont="1"/>
    <xf numFmtId="0" fontId="5" fillId="0" borderId="0" xfId="0" applyFont="1" applyAlignment="1">
      <alignment horizontal="right"/>
    </xf>
    <xf numFmtId="164" fontId="60" fillId="0" borderId="0" xfId="0" applyNumberFormat="1" applyFont="1" applyAlignment="1">
      <alignment horizontal="right"/>
    </xf>
    <xf numFmtId="2" fontId="3" fillId="0" borderId="0" xfId="0" applyNumberFormat="1" applyFont="1" applyAlignment="1">
      <alignment vertical="top" wrapText="1"/>
    </xf>
    <xf numFmtId="164" fontId="61" fillId="0" borderId="2" xfId="0" applyNumberFormat="1" applyFont="1" applyBorder="1"/>
    <xf numFmtId="164" fontId="62" fillId="0" borderId="2" xfId="0" applyNumberFormat="1" applyFont="1" applyBorder="1"/>
    <xf numFmtId="164" fontId="61" fillId="0" borderId="0" xfId="0" applyNumberFormat="1" applyFont="1"/>
    <xf numFmtId="164" fontId="4" fillId="0" borderId="0" xfId="0" applyNumberFormat="1" applyFont="1"/>
    <xf numFmtId="2" fontId="4" fillId="0" borderId="0" xfId="0" applyNumberFormat="1" applyFont="1"/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164" fontId="60" fillId="0" borderId="0" xfId="0" applyNumberFormat="1" applyFont="1" applyAlignment="1">
      <alignment horizontal="right" vertical="center"/>
    </xf>
    <xf numFmtId="14" fontId="5" fillId="0" borderId="0" xfId="0" applyNumberFormat="1" applyFont="1" applyAlignment="1">
      <alignment horizontal="center" vertical="center"/>
    </xf>
    <xf numFmtId="4" fontId="60" fillId="0" borderId="0" xfId="0" applyNumberFormat="1" applyFont="1"/>
    <xf numFmtId="164" fontId="4" fillId="20" borderId="0" xfId="0" applyNumberFormat="1" applyFont="1" applyFill="1"/>
    <xf numFmtId="164" fontId="61" fillId="20" borderId="0" xfId="0" applyNumberFormat="1" applyFont="1" applyFill="1"/>
    <xf numFmtId="0" fontId="4" fillId="0" borderId="0" xfId="0" applyFont="1" applyAlignment="1">
      <alignment horizontal="center"/>
    </xf>
    <xf numFmtId="4" fontId="31" fillId="5" borderId="72" xfId="8" applyNumberFormat="1" applyFont="1" applyFill="1" applyBorder="1" applyAlignment="1">
      <alignment horizontal="right"/>
    </xf>
    <xf numFmtId="4" fontId="38" fillId="5" borderId="3" xfId="8" applyNumberFormat="1" applyFont="1" applyFill="1" applyBorder="1" applyAlignment="1">
      <alignment horizontal="right"/>
    </xf>
    <xf numFmtId="49" fontId="20" fillId="0" borderId="0" xfId="0" applyNumberFormat="1" applyFont="1" applyAlignment="1">
      <alignment horizontal="left"/>
    </xf>
    <xf numFmtId="164" fontId="48" fillId="0" borderId="0" xfId="0" applyNumberFormat="1" applyFont="1"/>
    <xf numFmtId="164" fontId="5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horizontal="left"/>
    </xf>
    <xf numFmtId="14" fontId="5" fillId="0" borderId="0" xfId="0" applyNumberFormat="1" applyFont="1" applyAlignment="1">
      <alignment horizontal="right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wrapText="1"/>
    </xf>
    <xf numFmtId="4" fontId="29" fillId="4" borderId="38" xfId="8" applyNumberFormat="1" applyFont="1" applyBorder="1" applyAlignment="1">
      <alignment vertical="center"/>
    </xf>
    <xf numFmtId="0" fontId="22" fillId="0" borderId="8" xfId="0" applyFont="1" applyBorder="1" applyAlignment="1">
      <alignment vertical="center"/>
    </xf>
    <xf numFmtId="4" fontId="22" fillId="0" borderId="9" xfId="0" applyNumberFormat="1" applyFont="1" applyBorder="1" applyAlignment="1">
      <alignment vertical="center"/>
    </xf>
    <xf numFmtId="4" fontId="29" fillId="6" borderId="21" xfId="0" applyNumberFormat="1" applyFont="1" applyFill="1" applyBorder="1" applyAlignment="1">
      <alignment vertical="center"/>
    </xf>
    <xf numFmtId="0" fontId="22" fillId="0" borderId="10" xfId="0" applyFont="1" applyBorder="1" applyAlignment="1">
      <alignment vertical="center"/>
    </xf>
    <xf numFmtId="0" fontId="30" fillId="0" borderId="9" xfId="0" applyFont="1" applyBorder="1" applyAlignment="1">
      <alignment vertical="center" wrapText="1"/>
    </xf>
    <xf numFmtId="44" fontId="20" fillId="0" borderId="1" xfId="1" applyNumberFormat="1" applyFont="1" applyBorder="1" applyAlignment="1">
      <alignment horizontal="right" vertical="center"/>
    </xf>
    <xf numFmtId="43" fontId="41" fillId="0" borderId="1" xfId="1" applyFont="1" applyBorder="1" applyAlignment="1">
      <alignment vertical="center" wrapText="1"/>
    </xf>
    <xf numFmtId="0" fontId="20" fillId="0" borderId="1" xfId="1" applyNumberFormat="1" applyFont="1" applyBorder="1" applyAlignment="1">
      <alignment horizontal="left" vertical="center" wrapText="1"/>
    </xf>
    <xf numFmtId="44" fontId="20" fillId="0" borderId="1" xfId="1" applyNumberFormat="1" applyFont="1" applyBorder="1" applyAlignment="1">
      <alignment horizontal="left" vertical="center"/>
    </xf>
    <xf numFmtId="44" fontId="43" fillId="0" borderId="1" xfId="10" applyNumberFormat="1" applyFont="1" applyBorder="1" applyAlignment="1">
      <alignment vertical="center"/>
    </xf>
    <xf numFmtId="0" fontId="0" fillId="0" borderId="1" xfId="0" applyBorder="1" applyAlignment="1">
      <alignment vertical="center" wrapText="1"/>
    </xf>
    <xf numFmtId="0" fontId="12" fillId="0" borderId="58" xfId="0" applyFont="1" applyBorder="1"/>
    <xf numFmtId="0" fontId="12" fillId="0" borderId="61" xfId="0" applyFont="1" applyBorder="1"/>
    <xf numFmtId="43" fontId="47" fillId="11" borderId="62" xfId="1" applyFont="1" applyFill="1" applyBorder="1"/>
    <xf numFmtId="0" fontId="0" fillId="0" borderId="54" xfId="1" applyNumberFormat="1" applyFont="1" applyFill="1" applyBorder="1" applyAlignment="1">
      <alignment wrapText="1"/>
    </xf>
    <xf numFmtId="43" fontId="41" fillId="11" borderId="75" xfId="1" applyFont="1" applyFill="1" applyBorder="1"/>
    <xf numFmtId="4" fontId="26" fillId="4" borderId="38" xfId="8" applyNumberFormat="1" applyFont="1" applyBorder="1" applyAlignment="1">
      <alignment horizontal="right" vertical="center"/>
    </xf>
    <xf numFmtId="4" fontId="22" fillId="6" borderId="33" xfId="0" applyNumberFormat="1" applyFont="1" applyFill="1" applyBorder="1" applyAlignment="1">
      <alignment horizontal="right" vertical="center"/>
    </xf>
    <xf numFmtId="4" fontId="22" fillId="0" borderId="10" xfId="0" applyNumberFormat="1" applyFont="1" applyBorder="1" applyAlignment="1">
      <alignment horizontal="right" vertical="center"/>
    </xf>
    <xf numFmtId="0" fontId="30" fillId="0" borderId="24" xfId="0" applyFont="1" applyBorder="1" applyAlignment="1">
      <alignment vertical="center" wrapText="1"/>
    </xf>
    <xf numFmtId="4" fontId="29" fillId="4" borderId="38" xfId="8" applyNumberFormat="1" applyFont="1" applyBorder="1" applyAlignment="1">
      <alignment horizontal="right" vertical="center"/>
    </xf>
    <xf numFmtId="0" fontId="22" fillId="2" borderId="0" xfId="0" applyFont="1" applyFill="1" applyAlignment="1">
      <alignment horizontal="right" vertical="center"/>
    </xf>
    <xf numFmtId="0" fontId="26" fillId="2" borderId="0" xfId="0" applyFont="1" applyFill="1" applyAlignment="1">
      <alignment horizontal="right" vertical="center"/>
    </xf>
    <xf numFmtId="0" fontId="0" fillId="2" borderId="7" xfId="0" applyFill="1" applyBorder="1" applyAlignment="1">
      <alignment horizontal="right" vertical="center"/>
    </xf>
    <xf numFmtId="10" fontId="22" fillId="10" borderId="7" xfId="0" applyNumberFormat="1" applyFont="1" applyFill="1" applyBorder="1" applyAlignment="1">
      <alignment horizontal="right" vertical="center"/>
    </xf>
    <xf numFmtId="0" fontId="22" fillId="10" borderId="7" xfId="0" applyFont="1" applyFill="1" applyBorder="1" applyAlignment="1">
      <alignment horizontal="right" vertical="center"/>
    </xf>
    <xf numFmtId="0" fontId="20" fillId="2" borderId="7" xfId="0" applyFont="1" applyFill="1" applyBorder="1" applyAlignment="1">
      <alignment horizontal="right" vertical="center"/>
    </xf>
    <xf numFmtId="0" fontId="0" fillId="2" borderId="78" xfId="0" applyFill="1" applyBorder="1" applyAlignment="1">
      <alignment horizontal="right" vertical="center"/>
    </xf>
    <xf numFmtId="164" fontId="0" fillId="2" borderId="0" xfId="0" applyNumberFormat="1" applyFill="1" applyAlignment="1">
      <alignment horizontal="right" vertical="center"/>
    </xf>
    <xf numFmtId="164" fontId="26" fillId="2" borderId="0" xfId="0" applyNumberFormat="1" applyFont="1" applyFill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164" fontId="20" fillId="2" borderId="0" xfId="0" applyNumberFormat="1" applyFont="1" applyFill="1" applyAlignment="1">
      <alignment horizontal="right" vertical="center"/>
    </xf>
    <xf numFmtId="14" fontId="5" fillId="0" borderId="0" xfId="0" applyNumberFormat="1" applyFont="1" applyAlignment="1">
      <alignment vertical="center"/>
    </xf>
    <xf numFmtId="164" fontId="60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4" fontId="26" fillId="4" borderId="40" xfId="8" applyNumberFormat="1" applyFont="1" applyBorder="1" applyAlignment="1">
      <alignment horizontal="right" vertical="center"/>
    </xf>
    <xf numFmtId="0" fontId="22" fillId="0" borderId="23" xfId="0" applyFont="1" applyBorder="1" applyAlignment="1">
      <alignment vertical="center"/>
    </xf>
    <xf numFmtId="4" fontId="22" fillId="6" borderId="22" xfId="0" applyNumberFormat="1" applyFont="1" applyFill="1" applyBorder="1" applyAlignment="1">
      <alignment horizontal="right" vertical="center"/>
    </xf>
    <xf numFmtId="4" fontId="22" fillId="0" borderId="25" xfId="0" applyNumberFormat="1" applyFont="1" applyBorder="1" applyAlignment="1">
      <alignment horizontal="right" vertical="center"/>
    </xf>
    <xf numFmtId="4" fontId="26" fillId="5" borderId="3" xfId="8" applyNumberFormat="1" applyFont="1" applyFill="1" applyBorder="1" applyAlignment="1">
      <alignment horizontal="right" vertical="center"/>
    </xf>
    <xf numFmtId="4" fontId="29" fillId="6" borderId="31" xfId="0" applyNumberFormat="1" applyFont="1" applyFill="1" applyBorder="1" applyAlignment="1">
      <alignment horizontal="right" vertical="center"/>
    </xf>
    <xf numFmtId="0" fontId="0" fillId="18" borderId="1" xfId="0" applyFill="1" applyBorder="1" applyAlignment="1">
      <alignment vertical="center"/>
    </xf>
    <xf numFmtId="44" fontId="0" fillId="18" borderId="1" xfId="0" applyNumberFormat="1" applyFill="1" applyBorder="1" applyAlignment="1">
      <alignment vertical="center"/>
    </xf>
    <xf numFmtId="44" fontId="0" fillId="0" borderId="1" xfId="0" applyNumberFormat="1" applyBorder="1" applyAlignment="1">
      <alignment vertical="center"/>
    </xf>
    <xf numFmtId="0" fontId="0" fillId="19" borderId="1" xfId="0" applyFill="1" applyBorder="1" applyAlignment="1">
      <alignment vertical="center"/>
    </xf>
    <xf numFmtId="44" fontId="0" fillId="19" borderId="1" xfId="0" applyNumberFormat="1" applyFill="1" applyBorder="1" applyAlignment="1">
      <alignment vertical="center"/>
    </xf>
    <xf numFmtId="0" fontId="22" fillId="2" borderId="46" xfId="0" applyFont="1" applyFill="1" applyBorder="1" applyAlignment="1">
      <alignment horizontal="right" vertical="center"/>
    </xf>
    <xf numFmtId="10" fontId="22" fillId="10" borderId="0" xfId="0" applyNumberFormat="1" applyFont="1" applyFill="1" applyAlignment="1">
      <alignment horizontal="right" vertical="center"/>
    </xf>
    <xf numFmtId="164" fontId="22" fillId="2" borderId="0" xfId="0" applyNumberFormat="1" applyFont="1" applyFill="1" applyAlignment="1">
      <alignment horizontal="right" vertical="center"/>
    </xf>
    <xf numFmtId="1" fontId="22" fillId="2" borderId="46" xfId="0" applyNumberFormat="1" applyFont="1" applyFill="1" applyBorder="1" applyAlignment="1">
      <alignment horizontal="right" vertical="center"/>
    </xf>
    <xf numFmtId="2" fontId="22" fillId="2" borderId="46" xfId="0" applyNumberFormat="1" applyFont="1" applyFill="1" applyBorder="1" applyAlignment="1">
      <alignment horizontal="right" vertical="center"/>
    </xf>
    <xf numFmtId="4" fontId="22" fillId="6" borderId="0" xfId="0" applyNumberFormat="1" applyFont="1" applyFill="1" applyAlignment="1">
      <alignment horizontal="right" vertical="center"/>
    </xf>
    <xf numFmtId="4" fontId="22" fillId="6" borderId="0" xfId="0" applyNumberFormat="1" applyFont="1" applyFill="1" applyAlignment="1">
      <alignment horizontal="right"/>
    </xf>
    <xf numFmtId="4" fontId="30" fillId="5" borderId="0" xfId="0" applyNumberFormat="1" applyFont="1" applyFill="1"/>
    <xf numFmtId="10" fontId="26" fillId="10" borderId="0" xfId="0" applyNumberFormat="1" applyFont="1" applyFill="1" applyAlignment="1">
      <alignment horizontal="right" vertical="center"/>
    </xf>
    <xf numFmtId="4" fontId="30" fillId="5" borderId="0" xfId="0" applyNumberFormat="1" applyFont="1" applyFill="1" applyAlignment="1">
      <alignment vertical="center"/>
    </xf>
    <xf numFmtId="4" fontId="30" fillId="5" borderId="0" xfId="0" applyNumberFormat="1" applyFont="1" applyFill="1" applyAlignment="1">
      <alignment horizontal="right" vertical="center"/>
    </xf>
    <xf numFmtId="0" fontId="26" fillId="2" borderId="46" xfId="0" applyFont="1" applyFill="1" applyBorder="1" applyAlignment="1">
      <alignment horizontal="right" vertical="center"/>
    </xf>
    <xf numFmtId="4" fontId="22" fillId="0" borderId="0" xfId="0" applyNumberFormat="1" applyFont="1" applyAlignment="1">
      <alignment horizontal="right"/>
    </xf>
    <xf numFmtId="164" fontId="0" fillId="2" borderId="4" xfId="0" applyNumberFormat="1" applyFill="1" applyBorder="1" applyAlignment="1">
      <alignment horizontal="right" vertical="center"/>
    </xf>
    <xf numFmtId="0" fontId="22" fillId="2" borderId="71" xfId="0" applyFont="1" applyFill="1" applyBorder="1" applyAlignment="1">
      <alignment horizontal="right" vertical="center"/>
    </xf>
    <xf numFmtId="0" fontId="0" fillId="2" borderId="79" xfId="0" applyFill="1" applyBorder="1"/>
    <xf numFmtId="2" fontId="22" fillId="2" borderId="71" xfId="0" applyNumberFormat="1" applyFont="1" applyFill="1" applyBorder="1" applyAlignment="1">
      <alignment horizontal="right" vertical="center"/>
    </xf>
    <xf numFmtId="0" fontId="0" fillId="0" borderId="42" xfId="0" applyBorder="1" applyAlignment="1">
      <alignment horizontal="right" vertical="center"/>
    </xf>
    <xf numFmtId="0" fontId="0" fillId="0" borderId="42" xfId="0" applyBorder="1"/>
    <xf numFmtId="14" fontId="0" fillId="0" borderId="0" xfId="0" applyNumberFormat="1" applyAlignment="1">
      <alignment horizontal="right"/>
    </xf>
    <xf numFmtId="164" fontId="26" fillId="2" borderId="4" xfId="0" applyNumberFormat="1" applyFont="1" applyFill="1" applyBorder="1" applyAlignment="1">
      <alignment horizontal="right" vertical="center"/>
    </xf>
    <xf numFmtId="6" fontId="0" fillId="20" borderId="0" xfId="0" applyNumberFormat="1" applyFill="1" applyAlignment="1">
      <alignment vertical="center" wrapText="1"/>
    </xf>
    <xf numFmtId="0" fontId="0" fillId="20" borderId="0" xfId="0" applyFill="1" applyAlignment="1">
      <alignment vertical="center"/>
    </xf>
    <xf numFmtId="0" fontId="0" fillId="20" borderId="0" xfId="0" applyFill="1"/>
    <xf numFmtId="0" fontId="0" fillId="20" borderId="0" xfId="0" applyFill="1" applyAlignment="1">
      <alignment vertical="center" wrapText="1"/>
    </xf>
    <xf numFmtId="0" fontId="40" fillId="2" borderId="3" xfId="0" applyFont="1" applyFill="1" applyBorder="1" applyAlignment="1">
      <alignment horizontal="center"/>
    </xf>
    <xf numFmtId="0" fontId="40" fillId="2" borderId="48" xfId="0" applyFont="1" applyFill="1" applyBorder="1" applyAlignment="1">
      <alignment horizontal="center"/>
    </xf>
    <xf numFmtId="0" fontId="22" fillId="2" borderId="46" xfId="0" applyFont="1" applyFill="1" applyBorder="1" applyAlignment="1">
      <alignment horizontal="center" vertical="center" wrapText="1"/>
    </xf>
    <xf numFmtId="4" fontId="26" fillId="10" borderId="76" xfId="8" applyNumberFormat="1" applyFont="1" applyFill="1" applyBorder="1" applyAlignment="1">
      <alignment horizontal="center" vertical="top" wrapText="1"/>
    </xf>
    <xf numFmtId="4" fontId="26" fillId="10" borderId="7" xfId="8" applyNumberFormat="1" applyFont="1" applyFill="1" applyBorder="1" applyAlignment="1">
      <alignment horizontal="center" vertical="top" wrapText="1"/>
    </xf>
    <xf numFmtId="4" fontId="26" fillId="10" borderId="77" xfId="8" applyNumberFormat="1" applyFont="1" applyFill="1" applyBorder="1" applyAlignment="1">
      <alignment horizontal="center" vertical="top" wrapText="1"/>
    </xf>
    <xf numFmtId="4" fontId="22" fillId="0" borderId="11" xfId="0" applyNumberFormat="1" applyFont="1" applyBorder="1" applyAlignment="1">
      <alignment horizontal="center" vertical="center"/>
    </xf>
    <xf numFmtId="4" fontId="22" fillId="0" borderId="0" xfId="0" applyNumberFormat="1" applyFont="1" applyAlignment="1">
      <alignment horizontal="center" vertical="center"/>
    </xf>
    <xf numFmtId="164" fontId="26" fillId="2" borderId="0" xfId="8" applyNumberFormat="1" applyFont="1" applyFill="1" applyBorder="1" applyAlignment="1">
      <alignment horizontal="center" vertical="top" wrapText="1"/>
    </xf>
    <xf numFmtId="164" fontId="22" fillId="0" borderId="0" xfId="0" applyNumberFormat="1" applyFont="1" applyAlignment="1">
      <alignment horizontal="center" vertical="center"/>
    </xf>
    <xf numFmtId="4" fontId="26" fillId="10" borderId="70" xfId="8" applyNumberFormat="1" applyFont="1" applyFill="1" applyBorder="1" applyAlignment="1">
      <alignment horizontal="center" vertical="top" wrapText="1"/>
    </xf>
    <xf numFmtId="4" fontId="26" fillId="10" borderId="46" xfId="8" applyNumberFormat="1" applyFont="1" applyFill="1" applyBorder="1" applyAlignment="1">
      <alignment horizontal="center" vertical="top" wrapText="1"/>
    </xf>
    <xf numFmtId="0" fontId="40" fillId="2" borderId="47" xfId="0" applyFont="1" applyFill="1" applyBorder="1" applyAlignment="1">
      <alignment horizontal="center"/>
    </xf>
    <xf numFmtId="0" fontId="44" fillId="2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45" fillId="19" borderId="35" xfId="0" applyFont="1" applyFill="1" applyBorder="1" applyAlignment="1">
      <alignment horizontal="left"/>
    </xf>
    <xf numFmtId="0" fontId="45" fillId="19" borderId="34" xfId="0" applyFont="1" applyFill="1" applyBorder="1" applyAlignment="1">
      <alignment horizontal="left"/>
    </xf>
    <xf numFmtId="0" fontId="45" fillId="5" borderId="35" xfId="0" applyFont="1" applyFill="1" applyBorder="1" applyAlignment="1">
      <alignment horizontal="left"/>
    </xf>
    <xf numFmtId="0" fontId="45" fillId="5" borderId="34" xfId="0" applyFont="1" applyFill="1" applyBorder="1" applyAlignment="1">
      <alignment horizontal="left"/>
    </xf>
    <xf numFmtId="0" fontId="45" fillId="18" borderId="35" xfId="0" applyFont="1" applyFill="1" applyBorder="1" applyAlignment="1">
      <alignment horizontal="left"/>
    </xf>
    <xf numFmtId="0" fontId="45" fillId="18" borderId="34" xfId="0" applyFont="1" applyFill="1" applyBorder="1" applyAlignment="1">
      <alignment horizontal="left"/>
    </xf>
    <xf numFmtId="0" fontId="21" fillId="0" borderId="0" xfId="0" applyFont="1" applyAlignment="1">
      <alignment horizontal="center"/>
    </xf>
    <xf numFmtId="0" fontId="13" fillId="2" borderId="0" xfId="4" applyFont="1" applyFill="1" applyAlignment="1">
      <alignment horizontal="center"/>
    </xf>
    <xf numFmtId="0" fontId="19" fillId="2" borderId="0" xfId="4" applyFont="1" applyFill="1" applyAlignment="1">
      <alignment horizontal="center"/>
    </xf>
    <xf numFmtId="0" fontId="49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49" fillId="0" borderId="0" xfId="0" applyFont="1" applyAlignment="1">
      <alignment horizontal="left" vertical="center"/>
    </xf>
    <xf numFmtId="0" fontId="54" fillId="0" borderId="0" xfId="0" applyFont="1" applyAlignment="1">
      <alignment horizontal="left" vertical="center" wrapText="1"/>
    </xf>
    <xf numFmtId="0" fontId="54" fillId="0" borderId="0" xfId="0" applyFont="1" applyAlignment="1">
      <alignment horizontal="left" vertical="center"/>
    </xf>
    <xf numFmtId="0" fontId="49" fillId="0" borderId="0" xfId="0" applyFont="1" applyAlignment="1">
      <alignment horizontal="left" vertical="center" wrapText="1"/>
    </xf>
    <xf numFmtId="0" fontId="49" fillId="0" borderId="0" xfId="0" applyFont="1" applyAlignment="1">
      <alignment wrapText="1"/>
    </xf>
    <xf numFmtId="0" fontId="49" fillId="0" borderId="69" xfId="0" applyFont="1" applyBorder="1" applyAlignment="1">
      <alignment wrapText="1"/>
    </xf>
    <xf numFmtId="49" fontId="9" fillId="3" borderId="0" xfId="6" applyNumberFormat="1" applyFont="1" applyFill="1" applyAlignment="1">
      <alignment horizontal="center" vertical="top" wrapText="1"/>
    </xf>
    <xf numFmtId="14" fontId="9" fillId="0" borderId="0" xfId="6" applyNumberFormat="1" applyFont="1" applyAlignment="1">
      <alignment horizontal="center" wrapText="1"/>
    </xf>
    <xf numFmtId="0" fontId="41" fillId="11" borderId="50" xfId="0" applyFont="1" applyFill="1" applyBorder="1" applyAlignment="1">
      <alignment horizontal="center" vertical="center" wrapText="1"/>
    </xf>
    <xf numFmtId="0" fontId="41" fillId="11" borderId="53" xfId="0" applyFont="1" applyFill="1" applyBorder="1" applyAlignment="1">
      <alignment horizontal="center" vertical="center" wrapText="1"/>
    </xf>
    <xf numFmtId="0" fontId="42" fillId="0" borderId="35" xfId="10" applyFont="1" applyBorder="1" applyAlignment="1">
      <alignment horizontal="center" wrapText="1"/>
    </xf>
    <xf numFmtId="0" fontId="42" fillId="0" borderId="34" xfId="10" applyFont="1" applyBorder="1" applyAlignment="1">
      <alignment horizontal="center" wrapText="1"/>
    </xf>
    <xf numFmtId="0" fontId="42" fillId="0" borderId="64" xfId="10" applyFont="1" applyBorder="1" applyAlignment="1">
      <alignment horizontal="center" wrapText="1"/>
    </xf>
    <xf numFmtId="0" fontId="0" fillId="0" borderId="73" xfId="0" applyBorder="1" applyAlignment="1">
      <alignment horizontal="center" vertical="center" wrapText="1"/>
    </xf>
    <xf numFmtId="0" fontId="0" fillId="0" borderId="74" xfId="0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164" fontId="5" fillId="0" borderId="0" xfId="0" applyNumberFormat="1" applyFont="1" applyAlignment="1"/>
    <xf numFmtId="14" fontId="5" fillId="0" borderId="0" xfId="0" applyNumberFormat="1" applyFont="1" applyAlignment="1"/>
    <xf numFmtId="0" fontId="5" fillId="0" borderId="0" xfId="0" applyFont="1" applyAlignment="1"/>
    <xf numFmtId="2" fontId="5" fillId="0" borderId="0" xfId="0" applyNumberFormat="1" applyFont="1" applyAlignment="1"/>
    <xf numFmtId="164" fontId="5" fillId="0" borderId="0" xfId="0" applyNumberFormat="1" applyFont="1" applyFill="1"/>
    <xf numFmtId="164" fontId="5" fillId="0" borderId="0" xfId="0" applyNumberFormat="1" applyFont="1" applyAlignment="1">
      <alignment horizontal="left" vertical="center"/>
    </xf>
    <xf numFmtId="0" fontId="4" fillId="0" borderId="0" xfId="0" applyFont="1" applyAlignment="1"/>
    <xf numFmtId="14" fontId="0" fillId="0" borderId="0" xfId="0" applyNumberFormat="1" applyAlignment="1"/>
    <xf numFmtId="164" fontId="5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65" fillId="0" borderId="0" xfId="0" applyFont="1" applyFill="1" applyAlignment="1">
      <alignment horizontal="left"/>
    </xf>
    <xf numFmtId="164" fontId="4" fillId="0" borderId="0" xfId="0" applyNumberFormat="1" applyFont="1" applyAlignment="1">
      <alignment horizontal="center"/>
    </xf>
    <xf numFmtId="164" fontId="61" fillId="0" borderId="0" xfId="0" applyNumberFormat="1" applyFont="1" applyAlignment="1">
      <alignment horizontal="center"/>
    </xf>
    <xf numFmtId="164" fontId="4" fillId="0" borderId="6" xfId="0" applyNumberFormat="1" applyFont="1" applyBorder="1" applyAlignment="1">
      <alignment horizontal="center"/>
    </xf>
  </cellXfs>
  <cellStyles count="15">
    <cellStyle name="Comma" xfId="1" builtinId="3"/>
    <cellStyle name="Comma 2" xfId="11" xr:uid="{FD26964D-B50F-448B-A7D8-A5DF8F4F3E46}"/>
    <cellStyle name="Comma 3" xfId="2" xr:uid="{00000000-0005-0000-0000-000001000000}"/>
    <cellStyle name="Comma 3 2" xfId="14" xr:uid="{EE6FEDB2-E96D-44BC-B9B9-A94ADBFF2C68}"/>
    <cellStyle name="Currency" xfId="3" builtinId="4"/>
    <cellStyle name="Currency 2" xfId="12" xr:uid="{D6A7ABD1-0E8E-4FCD-AF3B-B1DF6DC86333}"/>
    <cellStyle name="Good" xfId="8" builtinId="26"/>
    <cellStyle name="Hyperlink" xfId="9" builtinId="8"/>
    <cellStyle name="Normal" xfId="0" builtinId="0"/>
    <cellStyle name="Normal 2" xfId="4" xr:uid="{00000000-0005-0000-0000-000004000000}"/>
    <cellStyle name="Normal 3" xfId="5" xr:uid="{00000000-0005-0000-0000-000005000000}"/>
    <cellStyle name="Normal_Master Copy Scole Parish Council Accounts" xfId="6" xr:uid="{00000000-0005-0000-0000-000006000000}"/>
    <cellStyle name="Normal_Proposed Budget 2011-12" xfId="10" xr:uid="{AA1371ED-8CF3-49A8-8FFA-57616358B71F}"/>
    <cellStyle name="Per cent" xfId="7" builtinId="5"/>
    <cellStyle name="Percent 2" xfId="13" xr:uid="{5C7441C0-332F-4358-99BD-E4BBAB2E0773}"/>
  </cellStyles>
  <dxfs count="57">
    <dxf>
      <fill>
        <patternFill>
          <bgColor theme="8" tint="0.59996337778862885"/>
        </patternFill>
      </fill>
    </dxf>
    <dxf>
      <font>
        <color rgb="FFC00000"/>
      </font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color rgb="FFC00000"/>
      </font>
      <fill>
        <patternFill patternType="none">
          <bgColor auto="1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ont>
        <color rgb="FFC00000"/>
      </font>
      <fill>
        <patternFill patternType="none">
          <bgColor auto="1"/>
        </patternFill>
      </fill>
    </dxf>
    <dxf>
      <fill>
        <patternFill>
          <bgColor theme="8" tint="0.59996337778862885"/>
        </patternFill>
      </fill>
    </dxf>
    <dxf>
      <font>
        <color rgb="FFC00000"/>
      </font>
      <fill>
        <patternFill patternType="none">
          <bgColor auto="1"/>
        </patternFill>
      </fill>
    </dxf>
    <dxf>
      <fill>
        <patternFill>
          <bgColor theme="8" tint="0.59996337778862885"/>
        </patternFill>
      </fill>
    </dxf>
    <dxf>
      <font>
        <color rgb="FFC00000"/>
      </font>
      <fill>
        <patternFill patternType="none">
          <bgColor auto="1"/>
        </patternFill>
      </fill>
    </dxf>
    <dxf>
      <fill>
        <patternFill>
          <bgColor theme="8" tint="0.59996337778862885"/>
        </patternFill>
      </fill>
    </dxf>
    <dxf>
      <font>
        <color rgb="FFC00000"/>
      </font>
      <fill>
        <patternFill patternType="none">
          <bgColor auto="1"/>
        </patternFill>
      </fill>
    </dxf>
    <dxf>
      <fill>
        <patternFill>
          <bgColor theme="8" tint="0.59996337778862885"/>
        </patternFill>
      </fill>
    </dxf>
    <dxf>
      <font>
        <color rgb="FFC00000"/>
      </font>
      <fill>
        <patternFill patternType="none">
          <bgColor auto="1"/>
        </patternFill>
      </fill>
    </dxf>
    <dxf>
      <fill>
        <patternFill>
          <bgColor theme="8" tint="0.59996337778862885"/>
        </patternFill>
      </fill>
    </dxf>
    <dxf>
      <font>
        <color rgb="FFC00000"/>
      </font>
      <fill>
        <patternFill patternType="none">
          <bgColor auto="1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ont>
        <color rgb="FFC00000"/>
      </font>
      <fill>
        <patternFill patternType="none">
          <bgColor auto="1"/>
        </patternFill>
      </fill>
    </dxf>
    <dxf>
      <font>
        <color rgb="FFC00000"/>
      </font>
      <fill>
        <patternFill patternType="none">
          <bgColor auto="1"/>
        </patternFill>
      </fill>
    </dxf>
    <dxf>
      <fill>
        <patternFill>
          <bgColor theme="8" tint="0.59996337778862885"/>
        </patternFill>
      </fill>
    </dxf>
    <dxf>
      <font>
        <color rgb="FFC00000"/>
      </font>
      <fill>
        <patternFill patternType="none">
          <bgColor auto="1"/>
        </patternFill>
      </fill>
    </dxf>
    <dxf>
      <font>
        <color rgb="FFC00000"/>
      </font>
      <fill>
        <patternFill patternType="none">
          <bgColor auto="1"/>
        </patternFill>
      </fill>
    </dxf>
    <dxf>
      <fill>
        <patternFill>
          <bgColor theme="8" tint="0.59996337778862885"/>
        </patternFill>
      </fill>
    </dxf>
    <dxf>
      <font>
        <color rgb="FFC00000"/>
      </font>
      <fill>
        <patternFill patternType="none">
          <bgColor auto="1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CC"/>
      <color rgb="FF99FF99"/>
      <color rgb="FF66FF66"/>
      <color rgb="FFFF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7221C-29E2-488F-BDBA-D7A5CF30065F}">
  <sheetPr codeName="Sheet1">
    <tabColor rgb="FF0070C0"/>
    <pageSetUpPr fitToPage="1"/>
  </sheetPr>
  <dimension ref="A1:N59"/>
  <sheetViews>
    <sheetView topLeftCell="A19" zoomScale="90" zoomScaleNormal="90" workbookViewId="0">
      <selection activeCell="G31" sqref="G31"/>
    </sheetView>
  </sheetViews>
  <sheetFormatPr defaultColWidth="8.7109375" defaultRowHeight="15.75" x14ac:dyDescent="0.25"/>
  <cols>
    <col min="1" max="1" width="13.85546875" style="462" customWidth="1"/>
    <col min="2" max="2" width="0.85546875" customWidth="1"/>
    <col min="3" max="3" width="23.42578125" customWidth="1"/>
    <col min="4" max="4" width="0.85546875" customWidth="1"/>
    <col min="5" max="5" width="15.42578125" customWidth="1"/>
    <col min="6" max="6" width="0.85546875" customWidth="1"/>
    <col min="7" max="7" width="42.42578125" customWidth="1"/>
    <col min="8" max="8" width="0.85546875" customWidth="1"/>
    <col min="9" max="9" width="17.140625" customWidth="1"/>
    <col min="10" max="10" width="18.85546875" style="195" customWidth="1"/>
    <col min="11" max="11" width="18.85546875" style="428" customWidth="1"/>
    <col min="12" max="12" width="12.7109375" style="419" customWidth="1"/>
  </cols>
  <sheetData>
    <row r="1" spans="1:12" ht="23.25" x14ac:dyDescent="0.35">
      <c r="A1" s="469" t="s">
        <v>126</v>
      </c>
      <c r="B1" s="469"/>
      <c r="C1" s="469"/>
      <c r="D1" s="469"/>
      <c r="E1" s="469"/>
      <c r="F1" s="469"/>
      <c r="G1" s="469"/>
      <c r="H1" s="469"/>
      <c r="I1" s="469"/>
      <c r="J1" s="469"/>
      <c r="K1" s="469"/>
      <c r="L1" s="470"/>
    </row>
    <row r="2" spans="1:12" ht="8.1" customHeight="1" x14ac:dyDescent="0.25">
      <c r="A2" s="347"/>
      <c r="B2" s="348"/>
      <c r="C2" s="348"/>
      <c r="D2" s="348"/>
      <c r="E2" s="349"/>
      <c r="F2" s="348"/>
      <c r="G2" s="350"/>
      <c r="H2" s="348"/>
      <c r="I2" s="459"/>
      <c r="J2" s="421"/>
      <c r="K2" s="426"/>
      <c r="L2" s="444"/>
    </row>
    <row r="3" spans="1:12" ht="31.5" customHeight="1" x14ac:dyDescent="0.25">
      <c r="A3" s="166" t="s">
        <v>72</v>
      </c>
      <c r="B3" s="127"/>
      <c r="C3" s="132" t="s">
        <v>74</v>
      </c>
      <c r="D3" s="131"/>
      <c r="E3" s="130" t="s">
        <v>73</v>
      </c>
      <c r="F3" s="129"/>
      <c r="G3" s="128"/>
      <c r="H3" s="127"/>
      <c r="I3" s="126" t="s">
        <v>72</v>
      </c>
      <c r="J3" s="472" t="s">
        <v>245</v>
      </c>
      <c r="K3" s="477" t="s">
        <v>641</v>
      </c>
      <c r="L3" s="471" t="s">
        <v>562</v>
      </c>
    </row>
    <row r="4" spans="1:12" ht="32.25" customHeight="1" x14ac:dyDescent="0.25">
      <c r="A4" s="167">
        <v>45382</v>
      </c>
      <c r="B4" s="121"/>
      <c r="C4" s="125"/>
      <c r="D4" s="125"/>
      <c r="E4" s="124">
        <v>45747</v>
      </c>
      <c r="F4" s="123"/>
      <c r="G4" s="122"/>
      <c r="H4" s="121"/>
      <c r="I4" s="135">
        <f>SUM('Bank Recon'!B8)</f>
        <v>45747</v>
      </c>
      <c r="J4" s="473"/>
      <c r="K4" s="477"/>
      <c r="L4" s="471"/>
    </row>
    <row r="5" spans="1:12" x14ac:dyDescent="0.25">
      <c r="A5" s="168" t="s">
        <v>67</v>
      </c>
      <c r="B5" s="118"/>
      <c r="C5" s="115" t="s">
        <v>71</v>
      </c>
      <c r="D5" s="120"/>
      <c r="E5" s="114" t="s">
        <v>67</v>
      </c>
      <c r="F5" s="119"/>
      <c r="G5" s="112" t="s">
        <v>68</v>
      </c>
      <c r="H5" s="118"/>
      <c r="I5" s="110" t="s">
        <v>67</v>
      </c>
      <c r="J5" s="474"/>
      <c r="K5" s="477"/>
      <c r="L5" s="444"/>
    </row>
    <row r="6" spans="1:12" x14ac:dyDescent="0.25">
      <c r="A6" s="169">
        <v>11100</v>
      </c>
      <c r="B6" s="105"/>
      <c r="C6" s="290" t="s">
        <v>5</v>
      </c>
      <c r="D6" s="108"/>
      <c r="E6" s="117">
        <v>12500</v>
      </c>
      <c r="F6" s="107"/>
      <c r="G6" s="106"/>
      <c r="H6" s="108"/>
      <c r="I6" s="303" t="e">
        <f>SUM(Cashbook!#REF!)</f>
        <v>#REF!</v>
      </c>
      <c r="J6" s="445" t="e">
        <f>I6/E6</f>
        <v>#REF!</v>
      </c>
      <c r="K6" s="446">
        <v>12500</v>
      </c>
      <c r="L6" s="447">
        <f>(($K6/$E6)*100)-100</f>
        <v>0</v>
      </c>
    </row>
    <row r="7" spans="1:12" x14ac:dyDescent="0.25">
      <c r="A7" s="170">
        <v>0</v>
      </c>
      <c r="B7" s="105"/>
      <c r="C7" s="290" t="s">
        <v>171</v>
      </c>
      <c r="D7" s="108"/>
      <c r="E7" s="133">
        <v>20</v>
      </c>
      <c r="F7" s="107"/>
      <c r="G7" s="106"/>
      <c r="H7" s="108"/>
      <c r="I7" s="303" t="e">
        <f>SUM(Cashbook!#REF!)</f>
        <v>#REF!</v>
      </c>
      <c r="J7" s="445" t="e">
        <f t="shared" ref="J7:J11" si="0">I7/E7</f>
        <v>#REF!</v>
      </c>
      <c r="K7" s="446">
        <v>220</v>
      </c>
      <c r="L7" s="447">
        <f>(($K7/$E7)*100)-100</f>
        <v>1000</v>
      </c>
    </row>
    <row r="8" spans="1:12" x14ac:dyDescent="0.25">
      <c r="A8" s="171">
        <v>500</v>
      </c>
      <c r="B8" s="84"/>
      <c r="C8" s="290" t="s">
        <v>125</v>
      </c>
      <c r="D8" s="87"/>
      <c r="E8" s="89">
        <v>0</v>
      </c>
      <c r="F8" s="85"/>
      <c r="G8" s="106"/>
      <c r="H8" s="87"/>
      <c r="I8" s="303" t="e">
        <f>SUM(Cashbook!#REF!)</f>
        <v>#REF!</v>
      </c>
      <c r="J8" s="445" t="e">
        <f t="shared" si="0"/>
        <v>#REF!</v>
      </c>
      <c r="K8" s="446">
        <v>0</v>
      </c>
      <c r="L8" s="448" t="e">
        <f t="shared" ref="L8:L40" si="1">(($K8/$E8)*100)-100</f>
        <v>#DIV/0!</v>
      </c>
    </row>
    <row r="9" spans="1:12" x14ac:dyDescent="0.25">
      <c r="A9" s="171">
        <v>0</v>
      </c>
      <c r="B9" s="84"/>
      <c r="C9" s="290" t="s">
        <v>137</v>
      </c>
      <c r="D9" s="87"/>
      <c r="E9" s="89">
        <v>500</v>
      </c>
      <c r="F9" s="85"/>
      <c r="G9" s="106"/>
      <c r="H9" s="87"/>
      <c r="I9" s="303">
        <v>0</v>
      </c>
      <c r="J9" s="445">
        <f t="shared" si="0"/>
        <v>0</v>
      </c>
      <c r="K9" s="446">
        <v>0</v>
      </c>
      <c r="L9" s="448">
        <f t="shared" si="1"/>
        <v>-100</v>
      </c>
    </row>
    <row r="10" spans="1:12" s="361" customFormat="1" ht="78.75" x14ac:dyDescent="0.25">
      <c r="A10" s="414">
        <v>204.15</v>
      </c>
      <c r="B10" s="398"/>
      <c r="C10" s="360" t="s">
        <v>111</v>
      </c>
      <c r="D10" s="358"/>
      <c r="E10" s="415">
        <v>150</v>
      </c>
      <c r="F10" s="416"/>
      <c r="G10" s="417" t="s">
        <v>559</v>
      </c>
      <c r="H10" s="358"/>
      <c r="I10" s="357" t="e">
        <f>SUM(Cashbook!#REF!)</f>
        <v>#REF!</v>
      </c>
      <c r="J10" s="445" t="e">
        <f t="shared" si="0"/>
        <v>#REF!</v>
      </c>
      <c r="K10" s="446">
        <v>0</v>
      </c>
      <c r="L10" s="448">
        <f t="shared" si="1"/>
        <v>-100</v>
      </c>
    </row>
    <row r="11" spans="1:12" x14ac:dyDescent="0.25">
      <c r="A11" s="172"/>
      <c r="B11" s="84"/>
      <c r="C11" s="360" t="s">
        <v>393</v>
      </c>
      <c r="D11" s="358"/>
      <c r="E11" s="449">
        <v>0</v>
      </c>
      <c r="F11" s="85"/>
      <c r="G11" s="356"/>
      <c r="H11" s="87"/>
      <c r="I11" s="357" t="e">
        <f>SUM(Cashbook!#REF!)</f>
        <v>#REF!</v>
      </c>
      <c r="J11" s="445" t="e">
        <f t="shared" si="0"/>
        <v>#REF!</v>
      </c>
      <c r="K11" s="446">
        <v>0</v>
      </c>
      <c r="L11" s="448" t="e">
        <f t="shared" si="1"/>
        <v>#DIV/0!</v>
      </c>
    </row>
    <row r="12" spans="1:12" x14ac:dyDescent="0.25">
      <c r="A12" s="172">
        <v>203.54</v>
      </c>
      <c r="B12" s="84"/>
      <c r="C12" s="290" t="s">
        <v>6</v>
      </c>
      <c r="D12" s="87"/>
      <c r="E12" s="450">
        <v>140</v>
      </c>
      <c r="F12" s="85"/>
      <c r="G12" s="106"/>
      <c r="H12" s="87"/>
      <c r="I12" s="303">
        <f>SUM(Reserves!O20)</f>
        <v>258.18</v>
      </c>
      <c r="J12" s="445">
        <f>I12/E12</f>
        <v>1.8441428571428571</v>
      </c>
      <c r="K12" s="446">
        <v>258.18</v>
      </c>
      <c r="L12" s="448">
        <f t="shared" si="1"/>
        <v>84.414285714285711</v>
      </c>
    </row>
    <row r="13" spans="1:12" x14ac:dyDescent="0.25">
      <c r="A13" s="173">
        <v>2056.96</v>
      </c>
      <c r="B13" s="84"/>
      <c r="C13" s="290" t="s">
        <v>109</v>
      </c>
      <c r="D13" s="87"/>
      <c r="E13" s="450">
        <v>0</v>
      </c>
      <c r="F13" s="85"/>
      <c r="G13" s="106"/>
      <c r="H13" s="87"/>
      <c r="I13" s="303" t="e">
        <f>SUM(Cashbook!#REF!)</f>
        <v>#REF!</v>
      </c>
      <c r="J13" s="445" t="e">
        <f>I13/E13</f>
        <v>#REF!</v>
      </c>
      <c r="K13" s="446"/>
      <c r="L13" s="448" t="e">
        <f t="shared" si="1"/>
        <v>#DIV/0!</v>
      </c>
    </row>
    <row r="14" spans="1:12" x14ac:dyDescent="0.25">
      <c r="A14" s="174">
        <f>SUM(A6:A13)</f>
        <v>14064.650000000001</v>
      </c>
      <c r="B14" s="79"/>
      <c r="C14" s="82" t="s">
        <v>70</v>
      </c>
      <c r="D14" s="82"/>
      <c r="E14" s="116">
        <f>SUM(E6:E13)</f>
        <v>13310</v>
      </c>
      <c r="F14" s="94"/>
      <c r="G14" s="93"/>
      <c r="H14" s="79"/>
      <c r="I14" s="387" t="e">
        <f>SUM(I6:I13)</f>
        <v>#REF!</v>
      </c>
      <c r="J14" s="422"/>
      <c r="K14" s="446">
        <v>12920.37</v>
      </c>
      <c r="L14" s="448">
        <f t="shared" si="1"/>
        <v>-2.9273478587528103</v>
      </c>
    </row>
    <row r="15" spans="1:12" ht="8.1" customHeight="1" x14ac:dyDescent="0.25">
      <c r="A15" s="171"/>
      <c r="B15" s="84"/>
      <c r="C15" s="87"/>
      <c r="D15" s="87"/>
      <c r="E15" s="89"/>
      <c r="F15" s="85"/>
      <c r="G15" s="91"/>
      <c r="H15" s="84"/>
      <c r="I15" s="88"/>
      <c r="J15" s="423"/>
      <c r="K15" s="446"/>
      <c r="L15" s="448"/>
    </row>
    <row r="16" spans="1:12" x14ac:dyDescent="0.25">
      <c r="A16" s="168" t="s">
        <v>67</v>
      </c>
      <c r="B16" s="111"/>
      <c r="C16" s="115" t="s">
        <v>69</v>
      </c>
      <c r="D16" s="115"/>
      <c r="E16" s="114" t="s">
        <v>67</v>
      </c>
      <c r="F16" s="113"/>
      <c r="G16" s="112" t="s">
        <v>68</v>
      </c>
      <c r="H16" s="111"/>
      <c r="I16" s="110" t="s">
        <v>67</v>
      </c>
      <c r="J16" s="423"/>
      <c r="K16" s="446"/>
      <c r="L16" s="448"/>
    </row>
    <row r="17" spans="1:14" ht="15.75" customHeight="1" x14ac:dyDescent="0.25">
      <c r="A17" s="175">
        <v>5456.64</v>
      </c>
      <c r="B17" s="105"/>
      <c r="C17" s="108" t="s">
        <v>13</v>
      </c>
      <c r="D17" s="108"/>
      <c r="E17" s="109">
        <v>6067</v>
      </c>
      <c r="F17" s="107"/>
      <c r="G17" s="91"/>
      <c r="H17" s="108"/>
      <c r="I17" s="451" t="e">
        <f>SUM(Cashbook!#REF!)</f>
        <v>#REF!</v>
      </c>
      <c r="J17" s="452" t="e">
        <f>I17/E17</f>
        <v>#REF!</v>
      </c>
      <c r="K17" s="427">
        <v>6445.92</v>
      </c>
      <c r="L17" s="448">
        <f t="shared" si="1"/>
        <v>6.2455909015988169</v>
      </c>
    </row>
    <row r="18" spans="1:14" ht="15.75" customHeight="1" x14ac:dyDescent="0.25">
      <c r="A18" s="176">
        <v>312</v>
      </c>
      <c r="B18" s="105"/>
      <c r="C18" s="108" t="s">
        <v>43</v>
      </c>
      <c r="D18" s="108"/>
      <c r="E18" s="96">
        <v>312</v>
      </c>
      <c r="F18" s="107"/>
      <c r="G18" s="91"/>
      <c r="H18" s="108"/>
      <c r="I18" s="451" t="e">
        <f>SUM(Cashbook!#REF!)</f>
        <v>#REF!</v>
      </c>
      <c r="J18" s="452" t="e">
        <f t="shared" ref="J18:J40" si="2">I18/E18</f>
        <v>#REF!</v>
      </c>
      <c r="K18" s="427">
        <v>312</v>
      </c>
      <c r="L18" s="448">
        <f t="shared" si="1"/>
        <v>0</v>
      </c>
    </row>
    <row r="19" spans="1:14" ht="15.75" customHeight="1" x14ac:dyDescent="0.25">
      <c r="A19" s="177">
        <v>167.54</v>
      </c>
      <c r="B19" s="101"/>
      <c r="C19" s="104" t="s">
        <v>66</v>
      </c>
      <c r="D19" s="104"/>
      <c r="E19" s="103">
        <v>202</v>
      </c>
      <c r="F19" s="102"/>
      <c r="G19" s="91"/>
      <c r="H19" s="104"/>
      <c r="I19" s="451" t="e">
        <f>SUM(Cashbook!#REF!)</f>
        <v>#REF!</v>
      </c>
      <c r="J19" s="452" t="e">
        <f t="shared" si="2"/>
        <v>#REF!</v>
      </c>
      <c r="K19" s="427">
        <v>232.05</v>
      </c>
      <c r="L19" s="448">
        <f t="shared" si="1"/>
        <v>14.876237623762378</v>
      </c>
    </row>
    <row r="20" spans="1:14" ht="15.75" customHeight="1" x14ac:dyDescent="0.25">
      <c r="A20" s="176">
        <v>334</v>
      </c>
      <c r="B20" s="101"/>
      <c r="C20" s="104" t="s">
        <v>147</v>
      </c>
      <c r="D20" s="104"/>
      <c r="E20" s="103">
        <v>170</v>
      </c>
      <c r="F20" s="102"/>
      <c r="G20" s="91"/>
      <c r="H20" s="104"/>
      <c r="I20" s="451" t="e">
        <f>SUM(Cashbook!#REF!)</f>
        <v>#REF!</v>
      </c>
      <c r="J20" s="452" t="e">
        <f t="shared" si="2"/>
        <v>#REF!</v>
      </c>
      <c r="K20" s="427">
        <v>234</v>
      </c>
      <c r="L20" s="448">
        <f t="shared" si="1"/>
        <v>37.64705882352942</v>
      </c>
    </row>
    <row r="21" spans="1:14" ht="15.75" customHeight="1" x14ac:dyDescent="0.25">
      <c r="A21" s="176">
        <v>86.3</v>
      </c>
      <c r="B21" s="101"/>
      <c r="C21" s="104" t="s">
        <v>148</v>
      </c>
      <c r="D21" s="104"/>
      <c r="E21" s="103">
        <v>60</v>
      </c>
      <c r="F21" s="102"/>
      <c r="G21" s="91"/>
      <c r="H21" s="104"/>
      <c r="I21" s="451" t="e">
        <f>SUM(Cashbook!#REF!)</f>
        <v>#REF!</v>
      </c>
      <c r="J21" s="452" t="e">
        <f t="shared" si="2"/>
        <v>#REF!</v>
      </c>
      <c r="K21" s="427">
        <v>0</v>
      </c>
      <c r="L21" s="448">
        <f t="shared" si="1"/>
        <v>-100</v>
      </c>
    </row>
    <row r="22" spans="1:14" x14ac:dyDescent="0.25">
      <c r="A22" s="178">
        <v>215</v>
      </c>
      <c r="B22" s="84"/>
      <c r="C22" s="87" t="s">
        <v>149</v>
      </c>
      <c r="D22" s="87"/>
      <c r="E22" s="96">
        <v>110</v>
      </c>
      <c r="F22" s="85"/>
      <c r="G22" s="91"/>
      <c r="H22" s="87"/>
      <c r="I22" s="451" t="e">
        <f>SUM(Cashbook!#REF!)</f>
        <v>#REF!</v>
      </c>
      <c r="J22" s="452" t="e">
        <f t="shared" si="2"/>
        <v>#REF!</v>
      </c>
      <c r="K22" s="427">
        <v>86</v>
      </c>
      <c r="L22" s="448">
        <f t="shared" si="1"/>
        <v>-21.818181818181813</v>
      </c>
    </row>
    <row r="23" spans="1:14" x14ac:dyDescent="0.25">
      <c r="A23" s="177">
        <v>250.5</v>
      </c>
      <c r="B23" s="84"/>
      <c r="C23" s="100" t="s">
        <v>44</v>
      </c>
      <c r="D23" s="87"/>
      <c r="E23" s="99">
        <v>270</v>
      </c>
      <c r="F23" s="98"/>
      <c r="G23" s="91"/>
      <c r="H23" s="87"/>
      <c r="I23" s="451" t="e">
        <f>SUM(Cashbook!#REF!)</f>
        <v>#REF!</v>
      </c>
      <c r="J23" s="452" t="e">
        <f t="shared" si="2"/>
        <v>#REF!</v>
      </c>
      <c r="K23" s="427">
        <v>273</v>
      </c>
      <c r="L23" s="448">
        <f t="shared" si="1"/>
        <v>1.1111111111111143</v>
      </c>
    </row>
    <row r="24" spans="1:14" x14ac:dyDescent="0.25">
      <c r="A24" s="177">
        <v>49.99</v>
      </c>
      <c r="B24" s="84"/>
      <c r="C24" s="100" t="s">
        <v>157</v>
      </c>
      <c r="D24" s="87"/>
      <c r="E24" s="99">
        <v>85</v>
      </c>
      <c r="F24" s="98"/>
      <c r="G24" s="91"/>
      <c r="H24" s="87"/>
      <c r="I24" s="451" t="e">
        <f>SUM(Cashbook!#REF!)</f>
        <v>#REF!</v>
      </c>
      <c r="J24" s="452" t="e">
        <f t="shared" si="2"/>
        <v>#REF!</v>
      </c>
      <c r="K24" s="427">
        <v>49.99</v>
      </c>
      <c r="L24" s="448">
        <f t="shared" si="1"/>
        <v>-41.188235294117646</v>
      </c>
    </row>
    <row r="25" spans="1:14" s="361" customFormat="1" ht="141.75" x14ac:dyDescent="0.25">
      <c r="A25" s="397">
        <v>222.83</v>
      </c>
      <c r="B25" s="398"/>
      <c r="C25" s="399" t="s">
        <v>14</v>
      </c>
      <c r="D25" s="358"/>
      <c r="E25" s="400">
        <v>350</v>
      </c>
      <c r="F25" s="401"/>
      <c r="G25" s="402" t="s">
        <v>642</v>
      </c>
      <c r="H25" s="358"/>
      <c r="I25" s="453" t="e">
        <f>SUM(Cashbook!#REF!)</f>
        <v>#REF!</v>
      </c>
      <c r="J25" s="452" t="e">
        <f t="shared" si="2"/>
        <v>#REF!</v>
      </c>
      <c r="K25" s="427">
        <v>293</v>
      </c>
      <c r="L25" s="448">
        <f t="shared" si="1"/>
        <v>-16.285714285714278</v>
      </c>
    </row>
    <row r="26" spans="1:14" x14ac:dyDescent="0.25">
      <c r="A26" s="178">
        <v>118.03</v>
      </c>
      <c r="B26" s="84"/>
      <c r="C26" s="87" t="s">
        <v>150</v>
      </c>
      <c r="D26" s="87"/>
      <c r="E26" s="96">
        <v>125</v>
      </c>
      <c r="F26" s="85"/>
      <c r="G26" s="91" t="s">
        <v>560</v>
      </c>
      <c r="H26" s="87"/>
      <c r="I26" s="451" t="e">
        <f>SUM(Cashbook!#REF!)</f>
        <v>#REF!</v>
      </c>
      <c r="J26" s="452" t="e">
        <f t="shared" si="2"/>
        <v>#REF!</v>
      </c>
      <c r="K26" s="427">
        <v>79.040000000000006</v>
      </c>
      <c r="L26" s="448">
        <f t="shared" si="1"/>
        <v>-36.767999999999986</v>
      </c>
    </row>
    <row r="27" spans="1:14" x14ac:dyDescent="0.25">
      <c r="A27" s="178">
        <v>61.94</v>
      </c>
      <c r="B27" s="84"/>
      <c r="C27" s="87" t="s">
        <v>151</v>
      </c>
      <c r="D27" s="87"/>
      <c r="E27" s="96">
        <v>70</v>
      </c>
      <c r="F27" s="85"/>
      <c r="G27" s="91"/>
      <c r="H27" s="87"/>
      <c r="I27" s="451" t="e">
        <f>SUM(Cashbook!#REF!)</f>
        <v>#REF!</v>
      </c>
      <c r="J27" s="452" t="e">
        <f t="shared" si="2"/>
        <v>#REF!</v>
      </c>
      <c r="K27" s="427">
        <v>61.94</v>
      </c>
      <c r="L27" s="448">
        <f t="shared" si="1"/>
        <v>-11.51428571428572</v>
      </c>
    </row>
    <row r="28" spans="1:14" x14ac:dyDescent="0.25">
      <c r="A28" s="178">
        <v>92</v>
      </c>
      <c r="B28" s="84"/>
      <c r="C28" s="87" t="s">
        <v>152</v>
      </c>
      <c r="D28" s="87"/>
      <c r="E28" s="96">
        <v>200</v>
      </c>
      <c r="F28" s="85"/>
      <c r="G28" s="128"/>
      <c r="H28" s="87"/>
      <c r="I28" s="451" t="e">
        <f>SUM(Cashbook!#REF!)</f>
        <v>#REF!</v>
      </c>
      <c r="J28" s="452" t="e">
        <f t="shared" si="2"/>
        <v>#REF!</v>
      </c>
      <c r="K28" s="427">
        <v>92</v>
      </c>
      <c r="L28" s="448">
        <f t="shared" si="1"/>
        <v>-54</v>
      </c>
    </row>
    <row r="29" spans="1:14" x14ac:dyDescent="0.25">
      <c r="A29" s="178">
        <v>70</v>
      </c>
      <c r="B29" s="84"/>
      <c r="C29" s="87" t="s">
        <v>65</v>
      </c>
      <c r="D29" s="87"/>
      <c r="E29" s="96">
        <v>75</v>
      </c>
      <c r="F29" s="85"/>
      <c r="G29" s="91"/>
      <c r="H29" s="87"/>
      <c r="I29" s="451" t="e">
        <f>SUM(Cashbook!#REF!)</f>
        <v>#REF!</v>
      </c>
      <c r="J29" s="452" t="e">
        <f t="shared" si="2"/>
        <v>#REF!</v>
      </c>
      <c r="K29" s="427">
        <v>75</v>
      </c>
      <c r="L29" s="448">
        <f t="shared" si="1"/>
        <v>0</v>
      </c>
    </row>
    <row r="30" spans="1:14" x14ac:dyDescent="0.25">
      <c r="A30" s="178">
        <v>0</v>
      </c>
      <c r="B30" s="84"/>
      <c r="C30" s="87" t="s">
        <v>64</v>
      </c>
      <c r="D30" s="87"/>
      <c r="E30" s="97">
        <v>210</v>
      </c>
      <c r="F30" s="85"/>
      <c r="G30" s="91"/>
      <c r="H30" s="87"/>
      <c r="I30" s="451" t="e">
        <f>SUM(Cashbook!#REF!)</f>
        <v>#REF!</v>
      </c>
      <c r="J30" s="452" t="e">
        <f t="shared" si="2"/>
        <v>#REF!</v>
      </c>
      <c r="K30" s="427">
        <v>210</v>
      </c>
      <c r="L30" s="448">
        <f t="shared" si="1"/>
        <v>0</v>
      </c>
    </row>
    <row r="31" spans="1:14" s="361" customFormat="1" ht="236.25" x14ac:dyDescent="0.25">
      <c r="A31" s="418">
        <v>7307.65</v>
      </c>
      <c r="B31" s="398"/>
      <c r="C31" s="358" t="s">
        <v>153</v>
      </c>
      <c r="D31" s="358"/>
      <c r="E31" s="359">
        <v>100</v>
      </c>
      <c r="F31" s="416"/>
      <c r="G31" s="402" t="s">
        <v>643</v>
      </c>
      <c r="H31" s="358"/>
      <c r="I31" s="453" t="e">
        <f>SUM(Cashbook!#REF!)</f>
        <v>#REF!</v>
      </c>
      <c r="J31" s="452" t="e">
        <f t="shared" si="2"/>
        <v>#REF!</v>
      </c>
      <c r="K31" s="427">
        <v>362</v>
      </c>
      <c r="L31" s="448">
        <f t="shared" si="1"/>
        <v>262</v>
      </c>
      <c r="M31" s="465">
        <v>330</v>
      </c>
      <c r="N31" s="466">
        <v>230</v>
      </c>
    </row>
    <row r="32" spans="1:14" x14ac:dyDescent="0.25">
      <c r="A32" s="178">
        <v>0</v>
      </c>
      <c r="B32" s="84"/>
      <c r="C32" s="87" t="s">
        <v>155</v>
      </c>
      <c r="D32" s="87"/>
      <c r="E32" s="96">
        <v>100</v>
      </c>
      <c r="F32" s="85"/>
      <c r="G32" s="91"/>
      <c r="H32" s="87"/>
      <c r="I32" s="451" t="e">
        <f>SUM(Cashbook!#REF!)</f>
        <v>#REF!</v>
      </c>
      <c r="J32" s="452" t="e">
        <f t="shared" si="2"/>
        <v>#REF!</v>
      </c>
      <c r="K32" s="427">
        <v>0</v>
      </c>
      <c r="L32" s="448">
        <f t="shared" si="1"/>
        <v>-100</v>
      </c>
    </row>
    <row r="33" spans="1:12" x14ac:dyDescent="0.25">
      <c r="A33" s="178">
        <v>0</v>
      </c>
      <c r="B33" s="84"/>
      <c r="C33" s="87" t="s">
        <v>137</v>
      </c>
      <c r="D33" s="87"/>
      <c r="E33" s="96">
        <v>500</v>
      </c>
      <c r="F33" s="85"/>
      <c r="G33" s="91"/>
      <c r="H33" s="87"/>
      <c r="I33" s="451" t="e">
        <f>SUM(Cashbook!#REF!)</f>
        <v>#REF!</v>
      </c>
      <c r="J33" s="452" t="e">
        <f t="shared" si="2"/>
        <v>#REF!</v>
      </c>
      <c r="K33" s="427">
        <v>0</v>
      </c>
      <c r="L33" s="448">
        <f t="shared" si="1"/>
        <v>-100</v>
      </c>
    </row>
    <row r="34" spans="1:12" s="361" customFormat="1" ht="110.25" x14ac:dyDescent="0.25">
      <c r="A34" s="418">
        <v>129</v>
      </c>
      <c r="B34" s="398"/>
      <c r="C34" s="358" t="s">
        <v>156</v>
      </c>
      <c r="D34" s="358"/>
      <c r="E34" s="359">
        <v>400</v>
      </c>
      <c r="F34" s="416"/>
      <c r="G34" s="402" t="s">
        <v>644</v>
      </c>
      <c r="H34" s="358"/>
      <c r="I34" s="453" t="e">
        <f>SUM(Cashbook!#REF!)</f>
        <v>#REF!</v>
      </c>
      <c r="J34" s="452" t="e">
        <f t="shared" si="2"/>
        <v>#REF!</v>
      </c>
      <c r="K34" s="427">
        <v>447</v>
      </c>
      <c r="L34" s="448">
        <f t="shared" si="1"/>
        <v>11.75</v>
      </c>
    </row>
    <row r="35" spans="1:12" x14ac:dyDescent="0.25">
      <c r="A35" s="178">
        <v>684.96</v>
      </c>
      <c r="B35" s="84"/>
      <c r="C35" s="87" t="s">
        <v>15</v>
      </c>
      <c r="D35" s="87"/>
      <c r="E35" s="96">
        <v>700</v>
      </c>
      <c r="F35" s="85"/>
      <c r="G35" s="91"/>
      <c r="H35" s="87"/>
      <c r="I35" s="451" t="e">
        <f>SUM(Cashbook!#REF!)</f>
        <v>#REF!</v>
      </c>
      <c r="J35" s="452" t="e">
        <f t="shared" si="2"/>
        <v>#REF!</v>
      </c>
      <c r="K35" s="427">
        <v>783.26</v>
      </c>
      <c r="L35" s="448">
        <f t="shared" si="1"/>
        <v>11.894285714285729</v>
      </c>
    </row>
    <row r="36" spans="1:12" s="361" customFormat="1" ht="63" x14ac:dyDescent="0.25">
      <c r="A36" s="418">
        <v>0</v>
      </c>
      <c r="B36" s="398"/>
      <c r="C36" s="358" t="s">
        <v>63</v>
      </c>
      <c r="D36" s="358"/>
      <c r="E36" s="359"/>
      <c r="F36" s="416"/>
      <c r="G36" s="402" t="s">
        <v>609</v>
      </c>
      <c r="H36" s="358"/>
      <c r="I36" s="453" t="e">
        <f>SUM(Cashbook!#REF!)</f>
        <v>#REF!</v>
      </c>
      <c r="J36" s="452" t="e">
        <f t="shared" si="2"/>
        <v>#REF!</v>
      </c>
      <c r="K36" s="427">
        <v>20</v>
      </c>
      <c r="L36" s="448" t="e">
        <f t="shared" si="1"/>
        <v>#DIV/0!</v>
      </c>
    </row>
    <row r="37" spans="1:12" x14ac:dyDescent="0.25">
      <c r="A37" s="178"/>
      <c r="B37" s="84"/>
      <c r="C37" s="358" t="s">
        <v>394</v>
      </c>
      <c r="D37" s="358"/>
      <c r="E37" s="359">
        <v>0</v>
      </c>
      <c r="F37" s="85"/>
      <c r="G37" s="356"/>
      <c r="H37" s="87"/>
      <c r="I37" s="454">
        <f>SUM(Reserves!L18)</f>
        <v>7868.5099999999993</v>
      </c>
      <c r="J37" s="452" t="e">
        <f t="shared" si="2"/>
        <v>#DIV/0!</v>
      </c>
      <c r="K37" s="427">
        <v>0</v>
      </c>
      <c r="L37" s="448" t="e">
        <f t="shared" si="1"/>
        <v>#DIV/0!</v>
      </c>
    </row>
    <row r="38" spans="1:12" x14ac:dyDescent="0.25">
      <c r="A38" s="178">
        <v>0</v>
      </c>
      <c r="B38" s="84"/>
      <c r="C38" s="87" t="s">
        <v>79</v>
      </c>
      <c r="D38" s="87"/>
      <c r="E38" s="96">
        <v>150</v>
      </c>
      <c r="F38" s="85"/>
      <c r="G38" s="91"/>
      <c r="H38" s="87"/>
      <c r="I38" s="451" t="e">
        <f>SUM(Cashbook!#REF!)</f>
        <v>#REF!</v>
      </c>
      <c r="J38" s="452" t="e">
        <f t="shared" si="2"/>
        <v>#REF!</v>
      </c>
      <c r="K38" s="427">
        <v>0</v>
      </c>
      <c r="L38" s="448">
        <f t="shared" si="1"/>
        <v>-100</v>
      </c>
    </row>
    <row r="39" spans="1:12" s="361" customFormat="1" ht="47.25" x14ac:dyDescent="0.25">
      <c r="A39" s="418">
        <v>200</v>
      </c>
      <c r="B39" s="398"/>
      <c r="C39" s="358" t="s">
        <v>111</v>
      </c>
      <c r="D39" s="358"/>
      <c r="E39" s="359">
        <v>500</v>
      </c>
      <c r="F39" s="416"/>
      <c r="G39" s="402" t="s">
        <v>561</v>
      </c>
      <c r="H39" s="358"/>
      <c r="I39" s="453" t="e">
        <f>SUM(Cashbook!#REF!)</f>
        <v>#REF!</v>
      </c>
      <c r="J39" s="452" t="e">
        <f t="shared" si="2"/>
        <v>#REF!</v>
      </c>
      <c r="K39" s="427">
        <v>19.989999999999998</v>
      </c>
      <c r="L39" s="448">
        <f t="shared" si="1"/>
        <v>-96.001999999999995</v>
      </c>
    </row>
    <row r="40" spans="1:12" x14ac:dyDescent="0.25">
      <c r="A40" s="179">
        <f>SUM(A17:A39)</f>
        <v>15758.379999999997</v>
      </c>
      <c r="B40" s="79"/>
      <c r="C40" s="82" t="s">
        <v>62</v>
      </c>
      <c r="D40" s="82"/>
      <c r="E40" s="95">
        <f>SUM(E17:E39)</f>
        <v>10756</v>
      </c>
      <c r="F40" s="94"/>
      <c r="G40" s="93"/>
      <c r="H40" s="79"/>
      <c r="I40" s="134" t="e">
        <f>SUM(I17:I39)</f>
        <v>#REF!</v>
      </c>
      <c r="J40" s="452" t="e">
        <f t="shared" si="2"/>
        <v>#REF!</v>
      </c>
      <c r="K40" s="427">
        <v>8075.85</v>
      </c>
      <c r="L40" s="448">
        <f t="shared" si="1"/>
        <v>-24.917720342134615</v>
      </c>
    </row>
    <row r="41" spans="1:12" x14ac:dyDescent="0.25">
      <c r="A41" s="180"/>
      <c r="B41" s="84"/>
      <c r="C41" s="92"/>
      <c r="D41" s="87"/>
      <c r="E41" s="89"/>
      <c r="F41" s="85"/>
      <c r="G41" s="91"/>
      <c r="H41" s="84"/>
      <c r="I41" s="90"/>
      <c r="J41" s="452"/>
      <c r="K41" s="427"/>
      <c r="L41" s="448"/>
    </row>
    <row r="42" spans="1:12" x14ac:dyDescent="0.25">
      <c r="A42" s="171">
        <f>A14</f>
        <v>14064.650000000001</v>
      </c>
      <c r="B42" s="84"/>
      <c r="C42" s="87" t="s">
        <v>61</v>
      </c>
      <c r="D42" s="87"/>
      <c r="E42" s="89">
        <f>E14</f>
        <v>13310</v>
      </c>
      <c r="F42" s="85"/>
      <c r="G42" s="80" t="s">
        <v>60</v>
      </c>
      <c r="H42" s="84"/>
      <c r="I42" s="88" t="e">
        <f>I14</f>
        <v>#REF!</v>
      </c>
      <c r="J42" s="452"/>
      <c r="K42" s="427"/>
      <c r="L42" s="444"/>
    </row>
    <row r="43" spans="1:12" x14ac:dyDescent="0.25">
      <c r="A43" s="181">
        <f>-A40</f>
        <v>-15758.379999999997</v>
      </c>
      <c r="B43" s="84"/>
      <c r="C43" s="87" t="s">
        <v>59</v>
      </c>
      <c r="D43" s="87"/>
      <c r="E43" s="86">
        <f>-E40</f>
        <v>-10756</v>
      </c>
      <c r="F43" s="85"/>
      <c r="G43" s="80" t="s">
        <v>58</v>
      </c>
      <c r="H43" s="84"/>
      <c r="I43" s="83" t="e">
        <f>-I40</f>
        <v>#REF!</v>
      </c>
      <c r="J43" s="452"/>
      <c r="K43" s="427"/>
      <c r="L43" s="444"/>
    </row>
    <row r="44" spans="1:12" ht="16.5" thickBot="1" x14ac:dyDescent="0.3">
      <c r="A44" s="182">
        <f>SUM(A42:A43)</f>
        <v>-1693.7299999999959</v>
      </c>
      <c r="B44" s="79"/>
      <c r="C44" s="82" t="s">
        <v>57</v>
      </c>
      <c r="D44" s="82"/>
      <c r="E44" s="157">
        <f>SUM(E42:E43)</f>
        <v>2554</v>
      </c>
      <c r="F44" s="81"/>
      <c r="G44" s="80" t="s">
        <v>56</v>
      </c>
      <c r="H44" s="79"/>
      <c r="I44" s="78" t="e">
        <f>SUM(I42:I43)</f>
        <v>#REF!</v>
      </c>
      <c r="J44" s="452"/>
      <c r="K44" s="427"/>
      <c r="L44" s="444"/>
    </row>
    <row r="45" spans="1:12" ht="9" customHeight="1" thickTop="1" thickBot="1" x14ac:dyDescent="0.3">
      <c r="A45" s="183"/>
      <c r="B45" s="74"/>
      <c r="C45" s="74"/>
      <c r="D45" s="74"/>
      <c r="E45" s="77"/>
      <c r="F45" s="76"/>
      <c r="G45" s="75"/>
      <c r="H45" s="74"/>
      <c r="I45" s="73"/>
      <c r="L45" s="444"/>
    </row>
    <row r="46" spans="1:12" x14ac:dyDescent="0.25">
      <c r="A46" s="184">
        <v>45382</v>
      </c>
      <c r="B46" s="84"/>
      <c r="C46" s="84"/>
      <c r="D46" s="84"/>
      <c r="E46" s="85"/>
      <c r="F46" s="137"/>
      <c r="G46" s="138" t="s">
        <v>55</v>
      </c>
      <c r="H46" s="84"/>
      <c r="I46" s="136">
        <f>SUM('Bank Recon'!B8)</f>
        <v>45747</v>
      </c>
      <c r="J46" s="421"/>
      <c r="K46" s="426"/>
      <c r="L46" s="444"/>
    </row>
    <row r="47" spans="1:12" x14ac:dyDescent="0.25">
      <c r="A47" s="185">
        <f>SUM('Bank Recon'!D27)</f>
        <v>25912.52</v>
      </c>
      <c r="B47" s="84"/>
      <c r="C47" s="84"/>
      <c r="D47" s="84"/>
      <c r="E47" s="85"/>
      <c r="F47" s="137"/>
      <c r="G47" s="87" t="s">
        <v>26</v>
      </c>
      <c r="H47" s="84"/>
      <c r="I47" s="139">
        <f>SUM('Bank Recon'!C10)</f>
        <v>1000</v>
      </c>
      <c r="J47" s="421"/>
      <c r="K47" s="426"/>
      <c r="L47" s="444"/>
    </row>
    <row r="48" spans="1:12" x14ac:dyDescent="0.25">
      <c r="A48" s="186"/>
      <c r="B48" s="84"/>
      <c r="C48" s="84"/>
      <c r="D48" s="84"/>
      <c r="E48" s="85"/>
      <c r="F48" s="137"/>
      <c r="G48" s="87" t="s">
        <v>123</v>
      </c>
      <c r="H48" s="84"/>
      <c r="I48" s="156">
        <f>SUM('Bank Recon'!C11)-'2024-25 Running'!I49</f>
        <v>5316.2799999999988</v>
      </c>
      <c r="J48" s="475">
        <f>SUM(I48:I49)</f>
        <v>14621.65</v>
      </c>
      <c r="K48" s="478">
        <f>SUM(J48:J49)</f>
        <v>14621.65</v>
      </c>
      <c r="L48" s="444"/>
    </row>
    <row r="49" spans="1:12" x14ac:dyDescent="0.25">
      <c r="A49" s="186"/>
      <c r="B49" s="84"/>
      <c r="C49" s="84"/>
      <c r="D49" s="84"/>
      <c r="E49" s="85"/>
      <c r="F49" s="137"/>
      <c r="G49" s="87" t="s">
        <v>339</v>
      </c>
      <c r="H49" s="84"/>
      <c r="I49" s="156">
        <f>SUM('Ear Marked Funds'!C22)</f>
        <v>9305.3700000000008</v>
      </c>
      <c r="J49" s="476"/>
      <c r="K49" s="478"/>
      <c r="L49" s="444"/>
    </row>
    <row r="50" spans="1:12" x14ac:dyDescent="0.25">
      <c r="A50" s="187">
        <v>0</v>
      </c>
      <c r="B50" s="84"/>
      <c r="C50" s="84" t="s">
        <v>54</v>
      </c>
      <c r="D50" s="84"/>
      <c r="E50" s="85"/>
      <c r="F50" s="137"/>
      <c r="G50" s="87" t="s">
        <v>53</v>
      </c>
      <c r="H50" s="84"/>
      <c r="I50" s="140">
        <v>0</v>
      </c>
      <c r="J50" s="421"/>
      <c r="K50" s="426"/>
      <c r="L50" s="444"/>
    </row>
    <row r="51" spans="1:12" s="72" customFormat="1" x14ac:dyDescent="0.25">
      <c r="A51" s="188">
        <v>0</v>
      </c>
      <c r="B51" s="142"/>
      <c r="C51" s="142" t="s">
        <v>52</v>
      </c>
      <c r="D51" s="142"/>
      <c r="E51" s="143"/>
      <c r="F51" s="144"/>
      <c r="G51" s="145" t="s">
        <v>51</v>
      </c>
      <c r="H51" s="142"/>
      <c r="I51" s="141">
        <v>0</v>
      </c>
      <c r="J51" s="424"/>
      <c r="K51" s="429"/>
      <c r="L51" s="455"/>
    </row>
    <row r="52" spans="1:12" ht="15.75" customHeight="1" thickBot="1" x14ac:dyDescent="0.3">
      <c r="A52" s="189">
        <f>SUM(A47:A51)</f>
        <v>25912.52</v>
      </c>
      <c r="B52" s="84"/>
      <c r="C52" s="84" t="s">
        <v>50</v>
      </c>
      <c r="D52" s="84"/>
      <c r="E52" s="85"/>
      <c r="F52" s="137"/>
      <c r="G52" s="87" t="s">
        <v>49</v>
      </c>
      <c r="H52" s="84"/>
      <c r="I52" s="146">
        <f>SUM(I47:I51)</f>
        <v>15621.65</v>
      </c>
      <c r="J52" s="421"/>
      <c r="K52" s="426"/>
      <c r="L52" s="444"/>
    </row>
    <row r="53" spans="1:12" ht="16.5" thickTop="1" x14ac:dyDescent="0.25">
      <c r="A53" s="190"/>
      <c r="B53" s="84"/>
      <c r="C53" s="84"/>
      <c r="D53" s="84"/>
      <c r="E53" s="85"/>
      <c r="F53" s="137"/>
      <c r="G53" s="87"/>
      <c r="H53" s="84"/>
      <c r="I53" s="147"/>
      <c r="J53" s="421"/>
      <c r="K53" s="426"/>
      <c r="L53" s="444"/>
    </row>
    <row r="54" spans="1:12" x14ac:dyDescent="0.25">
      <c r="A54" s="190" t="s">
        <v>47</v>
      </c>
      <c r="B54" s="84"/>
      <c r="C54" s="84" t="s">
        <v>48</v>
      </c>
      <c r="D54" s="84"/>
      <c r="E54" s="85"/>
      <c r="F54" s="137"/>
      <c r="G54" s="82" t="s">
        <v>48</v>
      </c>
      <c r="H54" s="84"/>
      <c r="I54" s="148" t="s">
        <v>183</v>
      </c>
      <c r="J54" s="421"/>
      <c r="K54" s="426"/>
      <c r="L54" s="444"/>
    </row>
    <row r="55" spans="1:12" x14ac:dyDescent="0.25">
      <c r="A55" s="191">
        <v>200</v>
      </c>
      <c r="B55" s="84"/>
      <c r="C55" s="84" t="s">
        <v>76</v>
      </c>
      <c r="D55" s="84"/>
      <c r="E55" s="85"/>
      <c r="F55" s="137"/>
      <c r="G55" s="84"/>
      <c r="H55" s="84"/>
      <c r="I55" s="149"/>
      <c r="J55" s="421"/>
      <c r="K55" s="426"/>
      <c r="L55" s="444"/>
    </row>
    <row r="56" spans="1:12" x14ac:dyDescent="0.25">
      <c r="A56" s="192"/>
      <c r="B56" s="84"/>
      <c r="C56" s="84"/>
      <c r="D56" s="84"/>
      <c r="E56" s="85"/>
      <c r="F56" s="137"/>
      <c r="G56" s="87"/>
      <c r="H56" s="84"/>
      <c r="I56" s="456"/>
      <c r="J56" s="421"/>
      <c r="K56" s="426"/>
      <c r="L56" s="444"/>
    </row>
    <row r="57" spans="1:12" x14ac:dyDescent="0.25">
      <c r="A57" s="193">
        <f>SUM(A55:A56)</f>
        <v>200</v>
      </c>
      <c r="B57" s="161"/>
      <c r="C57" s="162"/>
      <c r="D57" s="161"/>
      <c r="E57" s="163"/>
      <c r="F57" s="164"/>
      <c r="G57" s="165" t="s">
        <v>46</v>
      </c>
      <c r="H57" s="161"/>
      <c r="I57" s="160">
        <f>SUM(I55:I56)</f>
        <v>0</v>
      </c>
      <c r="J57" s="425"/>
      <c r="K57" s="457"/>
      <c r="L57" s="458"/>
    </row>
    <row r="58" spans="1:12" x14ac:dyDescent="0.25">
      <c r="A58" s="461"/>
      <c r="B58" s="195"/>
      <c r="C58" s="195"/>
      <c r="D58" s="195"/>
      <c r="E58" s="195"/>
      <c r="F58" s="195"/>
      <c r="G58" s="195"/>
      <c r="H58" s="195"/>
      <c r="I58" s="195"/>
    </row>
    <row r="59" spans="1:12" x14ac:dyDescent="0.25">
      <c r="A59" s="461"/>
      <c r="B59" s="195"/>
      <c r="C59" s="195"/>
      <c r="D59" s="195"/>
      <c r="E59" s="195"/>
      <c r="F59" s="195"/>
      <c r="G59" s="195"/>
      <c r="H59" s="195"/>
      <c r="I59" s="195"/>
    </row>
  </sheetData>
  <mergeCells count="6">
    <mergeCell ref="A1:L1"/>
    <mergeCell ref="L3:L4"/>
    <mergeCell ref="J3:J5"/>
    <mergeCell ref="J48:J49"/>
    <mergeCell ref="K3:K5"/>
    <mergeCell ref="K48:K49"/>
  </mergeCells>
  <conditionalFormatting sqref="J6:J13">
    <cfRule type="cellIs" dxfId="56" priority="12" operator="between">
      <formula>0</formula>
      <formula>0.74</formula>
    </cfRule>
    <cfRule type="cellIs" dxfId="55" priority="13" operator="between">
      <formula>0.75</formula>
      <formula>0.99</formula>
    </cfRule>
    <cfRule type="cellIs" dxfId="54" priority="14" operator="greaterThan">
      <formula>1</formula>
    </cfRule>
  </conditionalFormatting>
  <conditionalFormatting sqref="J17:J41">
    <cfRule type="cellIs" dxfId="53" priority="9" operator="between">
      <formula>0</formula>
      <formula>0.74</formula>
    </cfRule>
    <cfRule type="cellIs" dxfId="52" priority="10" operator="between">
      <formula>0.75</formula>
      <formula>0.99</formula>
    </cfRule>
    <cfRule type="cellIs" dxfId="51" priority="11" operator="greaterThan">
      <formula>1</formula>
    </cfRule>
  </conditionalFormatting>
  <pageMargins left="0.39" right="0.39" top="0.75" bottom="0.49" header="0.3" footer="0.3"/>
  <pageSetup paperSize="9" scale="89"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84CC6-6A5A-4652-A474-F1F1150823B2}">
  <sheetPr codeName="Sheet11"/>
  <dimension ref="A1:R48"/>
  <sheetViews>
    <sheetView topLeftCell="A23" zoomScale="90" zoomScaleNormal="90" workbookViewId="0">
      <selection activeCell="F30" sqref="F30"/>
    </sheetView>
  </sheetViews>
  <sheetFormatPr defaultRowHeight="15" x14ac:dyDescent="0.25"/>
  <cols>
    <col min="1" max="1" width="29.42578125" customWidth="1"/>
    <col min="2" max="2" width="15.85546875" customWidth="1"/>
    <col min="3" max="3" width="12.7109375" customWidth="1"/>
    <col min="4" max="4" width="13.85546875" customWidth="1"/>
    <col min="5" max="5" width="23.85546875" customWidth="1"/>
    <col min="6" max="6" width="12.5703125" customWidth="1"/>
    <col min="7" max="7" width="14" customWidth="1"/>
    <col min="8" max="8" width="13.5703125" customWidth="1"/>
    <col min="9" max="9" width="36.85546875" customWidth="1"/>
    <col min="10" max="10" width="14.28515625" customWidth="1"/>
    <col min="11" max="11" width="24.42578125" customWidth="1"/>
    <col min="12" max="12" width="14.140625" bestFit="1" customWidth="1"/>
    <col min="13" max="13" width="12.85546875" customWidth="1"/>
    <col min="14" max="14" width="13.85546875" customWidth="1"/>
    <col min="15" max="16" width="13.5703125" customWidth="1"/>
    <col min="17" max="17" width="12.5703125" customWidth="1"/>
    <col min="18" max="18" width="37.140625" customWidth="1"/>
  </cols>
  <sheetData>
    <row r="1" spans="1:18" ht="75" x14ac:dyDescent="0.25">
      <c r="A1" s="199"/>
      <c r="B1" s="207" t="s">
        <v>163</v>
      </c>
      <c r="C1" s="208" t="s">
        <v>164</v>
      </c>
      <c r="D1" s="209" t="s">
        <v>165</v>
      </c>
      <c r="E1" s="209" t="s">
        <v>166</v>
      </c>
      <c r="F1" s="209" t="s">
        <v>167</v>
      </c>
      <c r="G1" s="210" t="s">
        <v>85</v>
      </c>
      <c r="H1" s="211" t="s">
        <v>86</v>
      </c>
      <c r="I1" s="212" t="s">
        <v>101</v>
      </c>
      <c r="K1" s="199"/>
      <c r="L1" s="207" t="s">
        <v>163</v>
      </c>
      <c r="M1" s="208" t="s">
        <v>164</v>
      </c>
      <c r="N1" s="209" t="s">
        <v>165</v>
      </c>
      <c r="O1" s="209" t="s">
        <v>166</v>
      </c>
      <c r="P1" s="209" t="s">
        <v>167</v>
      </c>
      <c r="Q1" s="210" t="s">
        <v>85</v>
      </c>
      <c r="R1" s="212" t="s">
        <v>101</v>
      </c>
    </row>
    <row r="2" spans="1:18" x14ac:dyDescent="0.25">
      <c r="A2" s="213" t="s">
        <v>88</v>
      </c>
      <c r="B2" s="214">
        <f t="shared" ref="B2:G2" si="0">SUM(B3:B26)</f>
        <v>15758.379999999997</v>
      </c>
      <c r="C2" s="214">
        <f t="shared" si="0"/>
        <v>11106</v>
      </c>
      <c r="D2" s="214" t="e">
        <f t="shared" si="0"/>
        <v>#REF!</v>
      </c>
      <c r="E2" s="214">
        <f t="shared" si="0"/>
        <v>10577.91</v>
      </c>
      <c r="F2" s="214">
        <f t="shared" si="0"/>
        <v>12433</v>
      </c>
      <c r="G2" s="214">
        <f t="shared" si="0"/>
        <v>1327</v>
      </c>
      <c r="H2" s="215"/>
      <c r="I2" s="216"/>
      <c r="K2" s="233" t="s">
        <v>90</v>
      </c>
      <c r="L2" s="234">
        <f>SUM(L3:L7)</f>
        <v>11804.15</v>
      </c>
      <c r="M2" s="234">
        <f>SUM(M3:M13)</f>
        <v>13310</v>
      </c>
      <c r="N2" s="234" t="e">
        <f>SUM(N3:N7)</f>
        <v>#REF!</v>
      </c>
      <c r="O2" s="234">
        <f>SUM(O3:O7)</f>
        <v>13720</v>
      </c>
      <c r="P2" s="234">
        <f>SUM(P3:P8)</f>
        <v>14770</v>
      </c>
      <c r="Q2" s="235">
        <f>SUM(Q3:Q8)</f>
        <v>1460</v>
      </c>
      <c r="R2" s="235"/>
    </row>
    <row r="3" spans="1:18" s="361" customFormat="1" ht="139.5" customHeight="1" x14ac:dyDescent="0.25">
      <c r="A3" s="308" t="s">
        <v>13</v>
      </c>
      <c r="B3" s="403">
        <f>SUM('2024-25 Running'!A17)</f>
        <v>5456.64</v>
      </c>
      <c r="C3" s="230">
        <f>SUM('2024-25 Running'!E17)</f>
        <v>6067</v>
      </c>
      <c r="D3" s="231" t="e">
        <f>SUM('2024-25 Running'!I17)</f>
        <v>#REF!</v>
      </c>
      <c r="E3" s="232">
        <v>6000</v>
      </c>
      <c r="F3" s="231">
        <v>7376</v>
      </c>
      <c r="G3" s="232">
        <f>SUM($F3-$C3)</f>
        <v>1309</v>
      </c>
      <c r="H3" s="404"/>
      <c r="I3" s="405" t="s">
        <v>508</v>
      </c>
      <c r="K3" s="308" t="s">
        <v>5</v>
      </c>
      <c r="L3" s="406">
        <f>SUM('2024-25 Running'!A6)</f>
        <v>11100</v>
      </c>
      <c r="M3" s="407">
        <f>SUM('2024-25 Running'!E6)</f>
        <v>12500</v>
      </c>
      <c r="N3" s="407" t="e">
        <f>SUM('2024-25 Running'!I6)</f>
        <v>#REF!</v>
      </c>
      <c r="O3" s="407">
        <v>12500</v>
      </c>
      <c r="P3" s="407">
        <v>14000</v>
      </c>
      <c r="Q3" s="232">
        <f>P3-M3</f>
        <v>1500</v>
      </c>
      <c r="R3" s="408" t="s">
        <v>464</v>
      </c>
    </row>
    <row r="4" spans="1:18" x14ac:dyDescent="0.25">
      <c r="A4" s="307" t="s">
        <v>173</v>
      </c>
      <c r="B4" s="201">
        <f>SUM('2024-25 Running'!A18)</f>
        <v>312</v>
      </c>
      <c r="C4" s="202">
        <f>SUM('2024-25 Running'!E18)</f>
        <v>312</v>
      </c>
      <c r="D4" s="203" t="e">
        <f>SUM('2024-25 Running'!I18)</f>
        <v>#REF!</v>
      </c>
      <c r="E4" s="204">
        <v>312</v>
      </c>
      <c r="F4" s="203">
        <v>312</v>
      </c>
      <c r="G4" s="204">
        <f>SUM(F4-C4)</f>
        <v>0</v>
      </c>
      <c r="H4" s="200"/>
      <c r="I4" s="228"/>
      <c r="K4" s="307" t="s">
        <v>171</v>
      </c>
      <c r="L4" s="236">
        <f>SUM('2024-25 Running'!A7)</f>
        <v>0</v>
      </c>
      <c r="M4" s="237">
        <f>SUM('2024-25 Running'!E7)</f>
        <v>20</v>
      </c>
      <c r="N4" s="237" t="e">
        <f>SUM('2024-25 Running'!I7)</f>
        <v>#REF!</v>
      </c>
      <c r="O4" s="237">
        <v>220</v>
      </c>
      <c r="P4" s="237">
        <v>20</v>
      </c>
      <c r="Q4" s="204">
        <f>P4-M4</f>
        <v>0</v>
      </c>
      <c r="R4" s="3"/>
    </row>
    <row r="5" spans="1:18" ht="30" x14ac:dyDescent="0.25">
      <c r="A5" s="307" t="s">
        <v>174</v>
      </c>
      <c r="B5" s="201">
        <f>SUM('2024-25 Running'!A19)</f>
        <v>167.54</v>
      </c>
      <c r="C5" s="202">
        <f>SUM('2024-25 Running'!E19)</f>
        <v>202</v>
      </c>
      <c r="D5" s="203" t="e">
        <f>SUM('2024-25 Running'!I19)</f>
        <v>#REF!</v>
      </c>
      <c r="E5" s="204">
        <v>240.06</v>
      </c>
      <c r="F5" s="203">
        <v>220</v>
      </c>
      <c r="G5" s="204">
        <f>(F5-C5)</f>
        <v>18</v>
      </c>
      <c r="H5" s="200"/>
      <c r="I5" s="261" t="s">
        <v>521</v>
      </c>
      <c r="K5" s="307" t="s">
        <v>125</v>
      </c>
      <c r="L5" s="236">
        <f>SUM('2024-25 Running'!A8)</f>
        <v>500</v>
      </c>
      <c r="M5" s="237">
        <f>SUM('2024-25 Running'!E8)</f>
        <v>0</v>
      </c>
      <c r="N5" s="237" t="e">
        <f>SUM('2024-25 Running'!I8)</f>
        <v>#REF!</v>
      </c>
      <c r="O5" s="237">
        <v>0</v>
      </c>
      <c r="P5" s="237">
        <v>0</v>
      </c>
      <c r="Q5" s="204">
        <f>P5-M5</f>
        <v>0</v>
      </c>
      <c r="R5" s="3"/>
    </row>
    <row r="6" spans="1:18" x14ac:dyDescent="0.25">
      <c r="A6" s="307" t="s">
        <v>147</v>
      </c>
      <c r="B6" s="201">
        <f>SUM('2024-25 Running'!A20)</f>
        <v>334</v>
      </c>
      <c r="C6" s="202">
        <v>170</v>
      </c>
      <c r="D6" s="203" t="e">
        <f>SUM('2024-25 Running'!I20)</f>
        <v>#REF!</v>
      </c>
      <c r="E6" s="204">
        <v>234</v>
      </c>
      <c r="F6" s="203">
        <v>250</v>
      </c>
      <c r="G6" s="204">
        <f>(F6-C6)</f>
        <v>80</v>
      </c>
      <c r="H6" s="200"/>
      <c r="I6" s="228"/>
      <c r="K6" s="307" t="s">
        <v>137</v>
      </c>
      <c r="L6" s="236">
        <f>SUM('2024-25 Running'!A9)</f>
        <v>0</v>
      </c>
      <c r="M6" s="237">
        <f>SUM('2024-25 Running'!E9)</f>
        <v>500</v>
      </c>
      <c r="N6" s="237">
        <f>SUM('2024-25 Running'!I9)</f>
        <v>0</v>
      </c>
      <c r="O6" s="237">
        <v>500</v>
      </c>
      <c r="P6" s="237">
        <v>500</v>
      </c>
      <c r="Q6" s="204">
        <f>P6-M6</f>
        <v>0</v>
      </c>
      <c r="R6" s="3" t="s">
        <v>511</v>
      </c>
    </row>
    <row r="7" spans="1:18" ht="32.25" customHeight="1" x14ac:dyDescent="0.25">
      <c r="A7" s="307" t="s">
        <v>89</v>
      </c>
      <c r="B7" s="201">
        <f>SUM('2024-25 Running'!A21)</f>
        <v>86.3</v>
      </c>
      <c r="C7" s="202">
        <v>60</v>
      </c>
      <c r="D7" s="203" t="e">
        <f>SUM('2024-25 Running'!I21)</f>
        <v>#REF!</v>
      </c>
      <c r="E7" s="204">
        <v>0</v>
      </c>
      <c r="F7" s="203">
        <v>60</v>
      </c>
      <c r="G7" s="204">
        <f>(F7-C7)</f>
        <v>0</v>
      </c>
      <c r="H7" s="200"/>
      <c r="I7" s="228"/>
      <c r="K7" s="307" t="s">
        <v>45</v>
      </c>
      <c r="L7" s="236">
        <f>SUM('2024-25 Running'!A10)</f>
        <v>204.15</v>
      </c>
      <c r="M7" s="237">
        <f>SUM('2024-25 Running'!E10)</f>
        <v>150</v>
      </c>
      <c r="N7" s="237" t="e">
        <f>SUM('2024-25 Running'!I10)</f>
        <v>#REF!</v>
      </c>
      <c r="O7" s="237">
        <v>500</v>
      </c>
      <c r="P7" s="237">
        <v>0</v>
      </c>
      <c r="Q7" s="204">
        <f>P7-M7</f>
        <v>-150</v>
      </c>
      <c r="R7" s="396" t="s">
        <v>465</v>
      </c>
    </row>
    <row r="8" spans="1:18" x14ac:dyDescent="0.25">
      <c r="A8" s="307" t="s">
        <v>149</v>
      </c>
      <c r="B8" s="201">
        <f>SUM('2024-25 Running'!A22)</f>
        <v>215</v>
      </c>
      <c r="C8" s="202">
        <v>110</v>
      </c>
      <c r="D8" s="203" t="e">
        <f>SUM('2024-25 Running'!I22)</f>
        <v>#REF!</v>
      </c>
      <c r="E8" s="204">
        <v>86</v>
      </c>
      <c r="F8" s="203">
        <v>110</v>
      </c>
      <c r="G8" s="204">
        <f>(F8-C8)</f>
        <v>0</v>
      </c>
      <c r="H8" s="200"/>
      <c r="I8" s="228"/>
      <c r="K8" s="307" t="s">
        <v>6</v>
      </c>
      <c r="L8" s="236">
        <f>SUM('2024-25 Running'!A12)</f>
        <v>203.54</v>
      </c>
      <c r="M8" s="237">
        <f>SUM('2024-25 Running'!E12)</f>
        <v>140</v>
      </c>
      <c r="N8" s="237">
        <f>SUM('2024-25 Running'!I12)</f>
        <v>258.18</v>
      </c>
      <c r="O8" s="237">
        <v>270</v>
      </c>
      <c r="P8" s="237">
        <v>250</v>
      </c>
      <c r="Q8" s="204">
        <f t="shared" ref="Q8:Q9" si="1">P8-M8</f>
        <v>110</v>
      </c>
      <c r="R8" s="3"/>
    </row>
    <row r="9" spans="1:18" x14ac:dyDescent="0.25">
      <c r="A9" s="307" t="s">
        <v>44</v>
      </c>
      <c r="B9" s="201">
        <f>SUM('2024-25 Running'!A23)</f>
        <v>250.5</v>
      </c>
      <c r="C9" s="202">
        <v>270</v>
      </c>
      <c r="D9" s="203" t="e">
        <f>SUM('2024-25 Running'!I23)</f>
        <v>#REF!</v>
      </c>
      <c r="E9" s="204">
        <v>273</v>
      </c>
      <c r="F9" s="203">
        <v>300</v>
      </c>
      <c r="G9" s="204">
        <f t="shared" ref="G9:G19" si="2">F9-C9</f>
        <v>30</v>
      </c>
      <c r="H9" s="205"/>
      <c r="I9" s="206"/>
      <c r="K9" s="307" t="s">
        <v>179</v>
      </c>
      <c r="L9" s="236">
        <f>SUM('2024-25 Running'!A13)</f>
        <v>2056.96</v>
      </c>
      <c r="M9" s="237">
        <f>SUM('2024-25 Running'!E13)</f>
        <v>0</v>
      </c>
      <c r="N9" s="237" t="e">
        <f>SUM('2024-25 Running'!I13)</f>
        <v>#REF!</v>
      </c>
      <c r="O9" s="237"/>
      <c r="P9" s="237">
        <v>0</v>
      </c>
      <c r="Q9" s="204">
        <f t="shared" si="1"/>
        <v>0</v>
      </c>
      <c r="R9" s="3"/>
    </row>
    <row r="10" spans="1:18" ht="30" customHeight="1" x14ac:dyDescent="0.25">
      <c r="A10" s="307" t="s">
        <v>157</v>
      </c>
      <c r="B10" s="201">
        <f>SUM('2024-25 Running'!A24)</f>
        <v>49.99</v>
      </c>
      <c r="C10" s="202">
        <v>85</v>
      </c>
      <c r="D10" s="203" t="e">
        <f>SUM('2024-25 Running'!I24)</f>
        <v>#REF!</v>
      </c>
      <c r="E10" s="204">
        <v>49.99</v>
      </c>
      <c r="F10" s="203">
        <v>0</v>
      </c>
      <c r="G10" s="204">
        <f t="shared" si="2"/>
        <v>-85</v>
      </c>
      <c r="H10" s="205"/>
      <c r="I10" s="206" t="s">
        <v>510</v>
      </c>
    </row>
    <row r="11" spans="1:18" ht="75" x14ac:dyDescent="0.25">
      <c r="A11" s="307" t="s">
        <v>14</v>
      </c>
      <c r="B11" s="201">
        <f>SUM('2024-25 Running'!A25)</f>
        <v>222.83</v>
      </c>
      <c r="C11" s="202">
        <v>350</v>
      </c>
      <c r="D11" s="203" t="e">
        <f>SUM('2024-25 Running'!I25)</f>
        <v>#REF!</v>
      </c>
      <c r="E11" s="204">
        <v>464</v>
      </c>
      <c r="F11" s="203">
        <v>400</v>
      </c>
      <c r="G11" s="204">
        <f t="shared" si="2"/>
        <v>50</v>
      </c>
      <c r="H11" s="205"/>
      <c r="I11" s="228" t="s">
        <v>509</v>
      </c>
    </row>
    <row r="12" spans="1:18" x14ac:dyDescent="0.25">
      <c r="A12" s="307" t="s">
        <v>150</v>
      </c>
      <c r="B12" s="201">
        <f>SUM('2024-25 Running'!A26)</f>
        <v>118.03</v>
      </c>
      <c r="C12" s="202">
        <v>125</v>
      </c>
      <c r="D12" s="203" t="e">
        <f>SUM('2024-25 Running'!I26)</f>
        <v>#REF!</v>
      </c>
      <c r="E12" s="204">
        <v>100</v>
      </c>
      <c r="F12" s="203">
        <v>100</v>
      </c>
      <c r="G12" s="204">
        <f t="shared" si="2"/>
        <v>-25</v>
      </c>
      <c r="H12" s="205"/>
      <c r="I12" s="229" t="s">
        <v>522</v>
      </c>
    </row>
    <row r="13" spans="1:18" x14ac:dyDescent="0.25">
      <c r="A13" s="307" t="s">
        <v>151</v>
      </c>
      <c r="B13" s="201">
        <f>SUM('2024-25 Running'!A27)</f>
        <v>61.94</v>
      </c>
      <c r="C13" s="202">
        <v>70</v>
      </c>
      <c r="D13" s="203" t="e">
        <f>SUM('2024-25 Running'!I27)</f>
        <v>#REF!</v>
      </c>
      <c r="E13" s="204">
        <v>61.94</v>
      </c>
      <c r="F13" s="203">
        <v>70</v>
      </c>
      <c r="G13" s="204">
        <f>F13-C13</f>
        <v>0</v>
      </c>
      <c r="H13" s="205"/>
      <c r="I13" s="229"/>
    </row>
    <row r="14" spans="1:18" x14ac:dyDescent="0.25">
      <c r="A14" s="308" t="s">
        <v>152</v>
      </c>
      <c r="B14" s="201">
        <f>SUM('2024-25 Running'!A28)</f>
        <v>92</v>
      </c>
      <c r="C14" s="230">
        <v>200</v>
      </c>
      <c r="D14" s="203" t="e">
        <f>SUM('2024-25 Running'!I28)</f>
        <v>#REF!</v>
      </c>
      <c r="E14" s="232">
        <v>184</v>
      </c>
      <c r="F14" s="231">
        <v>200</v>
      </c>
      <c r="G14" s="204">
        <f t="shared" si="2"/>
        <v>0</v>
      </c>
      <c r="H14" s="205"/>
      <c r="I14" s="229"/>
    </row>
    <row r="15" spans="1:18" ht="60" x14ac:dyDescent="0.25">
      <c r="A15" s="308" t="s">
        <v>475</v>
      </c>
      <c r="B15" s="201">
        <v>0</v>
      </c>
      <c r="C15" s="230">
        <v>0</v>
      </c>
      <c r="D15" s="203">
        <v>0</v>
      </c>
      <c r="E15" s="232">
        <v>0</v>
      </c>
      <c r="F15" s="231">
        <v>150</v>
      </c>
      <c r="G15" s="232">
        <f t="shared" si="2"/>
        <v>150</v>
      </c>
      <c r="H15" s="205"/>
      <c r="I15" s="229" t="s">
        <v>476</v>
      </c>
    </row>
    <row r="16" spans="1:18" x14ac:dyDescent="0.25">
      <c r="A16" s="307" t="s">
        <v>65</v>
      </c>
      <c r="B16" s="201">
        <f>SUM('2024-25 Running'!A29)</f>
        <v>70</v>
      </c>
      <c r="C16" s="202">
        <v>75</v>
      </c>
      <c r="D16" s="203" t="e">
        <f>SUM('2024-25 Running'!I29)</f>
        <v>#REF!</v>
      </c>
      <c r="E16" s="204">
        <v>75</v>
      </c>
      <c r="F16" s="204">
        <v>75</v>
      </c>
      <c r="G16" s="204">
        <f t="shared" si="2"/>
        <v>0</v>
      </c>
      <c r="H16" s="205"/>
      <c r="I16" s="206"/>
    </row>
    <row r="17" spans="1:13" x14ac:dyDescent="0.25">
      <c r="A17" s="307" t="s">
        <v>64</v>
      </c>
      <c r="B17" s="201">
        <f>SUM('2024-25 Running'!A30)</f>
        <v>0</v>
      </c>
      <c r="C17" s="202">
        <v>210</v>
      </c>
      <c r="D17" s="203" t="e">
        <f>SUM('2024-25 Running'!I30)</f>
        <v>#REF!</v>
      </c>
      <c r="E17" s="204">
        <v>210</v>
      </c>
      <c r="F17" s="203">
        <v>210</v>
      </c>
      <c r="G17" s="204">
        <f t="shared" si="2"/>
        <v>0</v>
      </c>
      <c r="H17" s="205"/>
      <c r="I17" s="206"/>
    </row>
    <row r="18" spans="1:13" x14ac:dyDescent="0.25">
      <c r="A18" s="307" t="s">
        <v>153</v>
      </c>
      <c r="B18" s="201">
        <f>SUM('2024-25 Running'!A31)</f>
        <v>7307.65</v>
      </c>
      <c r="C18" s="202">
        <v>100</v>
      </c>
      <c r="D18" s="203" t="e">
        <f>SUM('2024-25 Running'!I31)</f>
        <v>#REF!</v>
      </c>
      <c r="E18" s="204">
        <v>100</v>
      </c>
      <c r="F18" s="203">
        <v>500</v>
      </c>
      <c r="G18" s="204">
        <f t="shared" si="2"/>
        <v>400</v>
      </c>
      <c r="H18" s="205"/>
      <c r="I18" s="206"/>
    </row>
    <row r="19" spans="1:13" x14ac:dyDescent="0.25">
      <c r="A19" s="307" t="s">
        <v>155</v>
      </c>
      <c r="B19" s="201">
        <f>SUM('2024-25 Running'!A32)</f>
        <v>0</v>
      </c>
      <c r="C19" s="202">
        <v>100</v>
      </c>
      <c r="D19" s="203" t="e">
        <f>SUM('2024-25 Running'!I32)</f>
        <v>#REF!</v>
      </c>
      <c r="E19" s="204">
        <v>0</v>
      </c>
      <c r="F19" s="203">
        <v>100</v>
      </c>
      <c r="G19" s="204">
        <f t="shared" si="2"/>
        <v>0</v>
      </c>
      <c r="H19" s="205"/>
      <c r="I19" s="206"/>
    </row>
    <row r="20" spans="1:13" x14ac:dyDescent="0.25">
      <c r="A20" s="307" t="s">
        <v>137</v>
      </c>
      <c r="B20" s="201">
        <f>SUM('2024-25 Running'!A33)</f>
        <v>0</v>
      </c>
      <c r="C20" s="202">
        <v>500</v>
      </c>
      <c r="D20" s="203" t="e">
        <f>SUM('2024-25 Running'!I33)</f>
        <v>#REF!</v>
      </c>
      <c r="E20" s="204">
        <v>500</v>
      </c>
      <c r="F20" s="203">
        <v>500</v>
      </c>
      <c r="G20" s="204">
        <f>F20-C20</f>
        <v>0</v>
      </c>
      <c r="H20" s="205"/>
      <c r="I20" s="206"/>
    </row>
    <row r="21" spans="1:13" ht="105" x14ac:dyDescent="0.25">
      <c r="A21" s="307" t="s">
        <v>154</v>
      </c>
      <c r="B21" s="201">
        <f>SUM('2024-25 Running'!A34)</f>
        <v>129</v>
      </c>
      <c r="C21" s="202">
        <v>400</v>
      </c>
      <c r="D21" s="203" t="e">
        <f>SUM('2024-25 Running'!I34)</f>
        <v>#REF!</v>
      </c>
      <c r="E21" s="204">
        <v>644.66999999999996</v>
      </c>
      <c r="F21" s="203">
        <v>400</v>
      </c>
      <c r="G21" s="204">
        <f>F21-C21</f>
        <v>0</v>
      </c>
      <c r="H21" s="205"/>
      <c r="I21" s="229" t="s">
        <v>460</v>
      </c>
    </row>
    <row r="22" spans="1:13" x14ac:dyDescent="0.25">
      <c r="A22" s="307" t="s">
        <v>15</v>
      </c>
      <c r="B22" s="201">
        <f>SUM('2024-25 Running'!A35)</f>
        <v>684.96</v>
      </c>
      <c r="C22" s="202">
        <v>700</v>
      </c>
      <c r="D22" s="203" t="e">
        <f>SUM('2024-25 Running'!I35)</f>
        <v>#REF!</v>
      </c>
      <c r="E22" s="204">
        <v>783.26</v>
      </c>
      <c r="F22" s="203">
        <v>850</v>
      </c>
      <c r="G22" s="204">
        <f t="shared" ref="G22:G26" si="3">F22-C22</f>
        <v>150</v>
      </c>
      <c r="H22" s="205"/>
      <c r="I22" s="206"/>
    </row>
    <row r="23" spans="1:13" ht="30" x14ac:dyDescent="0.25">
      <c r="A23" s="307" t="s">
        <v>477</v>
      </c>
      <c r="B23" s="201">
        <v>0</v>
      </c>
      <c r="C23" s="202">
        <v>0</v>
      </c>
      <c r="D23" s="203">
        <v>0</v>
      </c>
      <c r="E23" s="204">
        <v>0</v>
      </c>
      <c r="F23" s="203">
        <v>150</v>
      </c>
      <c r="G23" s="204">
        <f t="shared" si="3"/>
        <v>150</v>
      </c>
      <c r="H23" s="205"/>
      <c r="I23" s="229" t="s">
        <v>478</v>
      </c>
    </row>
    <row r="24" spans="1:13" x14ac:dyDescent="0.25">
      <c r="A24" s="307" t="s">
        <v>63</v>
      </c>
      <c r="B24" s="201">
        <f>SUM('2024-25 Running'!A36)</f>
        <v>0</v>
      </c>
      <c r="C24" s="202">
        <v>500</v>
      </c>
      <c r="D24" s="203" t="e">
        <f>SUM('2024-25 Running'!I36)</f>
        <v>#REF!</v>
      </c>
      <c r="E24" s="204">
        <v>20</v>
      </c>
      <c r="F24" s="204"/>
      <c r="G24" s="204">
        <f t="shared" si="3"/>
        <v>-500</v>
      </c>
      <c r="H24" s="205"/>
      <c r="I24" s="206"/>
    </row>
    <row r="25" spans="1:13" x14ac:dyDescent="0.25">
      <c r="A25" s="307" t="s">
        <v>79</v>
      </c>
      <c r="B25" s="201">
        <f>SUM('2024-25 Running'!A38)</f>
        <v>0</v>
      </c>
      <c r="C25" s="202">
        <v>0</v>
      </c>
      <c r="D25" s="203">
        <v>0</v>
      </c>
      <c r="E25" s="203">
        <v>0</v>
      </c>
      <c r="F25" s="203">
        <v>0</v>
      </c>
      <c r="G25" s="204">
        <f t="shared" si="3"/>
        <v>0</v>
      </c>
      <c r="H25" s="205"/>
      <c r="I25" s="229"/>
    </row>
    <row r="26" spans="1:13" ht="30" x14ac:dyDescent="0.25">
      <c r="A26" s="307" t="s">
        <v>117</v>
      </c>
      <c r="B26" s="201">
        <f>SUM('2024-25 Running'!A39)</f>
        <v>200</v>
      </c>
      <c r="C26" s="202">
        <v>500</v>
      </c>
      <c r="D26" s="203" t="e">
        <f>SUM('2024-25 Running'!I39)</f>
        <v>#REF!</v>
      </c>
      <c r="E26" s="204">
        <v>239.99</v>
      </c>
      <c r="F26" s="203">
        <v>100</v>
      </c>
      <c r="G26" s="204">
        <f t="shared" si="3"/>
        <v>-400</v>
      </c>
      <c r="H26" s="205"/>
      <c r="I26" s="229" t="s">
        <v>461</v>
      </c>
    </row>
    <row r="27" spans="1:13" x14ac:dyDescent="0.25">
      <c r="I27" s="198"/>
    </row>
    <row r="28" spans="1:13" ht="15.75" thickBot="1" x14ac:dyDescent="0.3"/>
    <row r="29" spans="1:13" ht="45" x14ac:dyDescent="0.25">
      <c r="A29" s="239"/>
      <c r="B29" s="503" t="s">
        <v>81</v>
      </c>
      <c r="C29" s="240">
        <v>45748</v>
      </c>
      <c r="E29" s="264" t="s">
        <v>91</v>
      </c>
      <c r="F29" s="265" t="s">
        <v>168</v>
      </c>
      <c r="G29" s="265" t="s">
        <v>169</v>
      </c>
      <c r="H29" s="265" t="s">
        <v>170</v>
      </c>
      <c r="I29" s="505" t="s">
        <v>118</v>
      </c>
      <c r="J29" s="506"/>
      <c r="K29" s="506"/>
      <c r="L29" s="507"/>
      <c r="M29" s="265" t="s">
        <v>87</v>
      </c>
    </row>
    <row r="30" spans="1:13" x14ac:dyDescent="0.25">
      <c r="A30" s="241"/>
      <c r="B30" s="504"/>
      <c r="C30" s="242"/>
      <c r="E30" s="264"/>
      <c r="F30" s="264"/>
      <c r="G30" s="266"/>
      <c r="H30" s="266"/>
      <c r="I30" s="266"/>
      <c r="J30" s="266"/>
      <c r="K30" s="266"/>
      <c r="L30" s="266"/>
      <c r="M30" s="263"/>
    </row>
    <row r="31" spans="1:13" ht="15.75" thickBot="1" x14ac:dyDescent="0.3">
      <c r="A31" s="243" t="s">
        <v>82</v>
      </c>
      <c r="B31" s="244">
        <f>SUM(B33:B39)</f>
        <v>14765</v>
      </c>
      <c r="C31" s="245"/>
      <c r="E31" s="267" t="s">
        <v>92</v>
      </c>
      <c r="F31" s="268">
        <f>SUM(B2)</f>
        <v>15758.379999999997</v>
      </c>
      <c r="G31" s="268" t="e">
        <f>SUM(D2)</f>
        <v>#REF!</v>
      </c>
      <c r="H31" s="268">
        <f>SUM(F2)</f>
        <v>12433</v>
      </c>
      <c r="I31" s="268"/>
      <c r="J31" s="268"/>
      <c r="K31" s="268"/>
      <c r="L31" s="268"/>
      <c r="M31" s="263"/>
    </row>
    <row r="32" spans="1:13" ht="30.75" thickTop="1" x14ac:dyDescent="0.25">
      <c r="A32" s="246" t="s">
        <v>83</v>
      </c>
      <c r="B32" s="247"/>
      <c r="C32" s="248"/>
      <c r="E32" s="269" t="s">
        <v>93</v>
      </c>
      <c r="F32" s="268">
        <f>SUM(L2-L3)</f>
        <v>704.14999999999964</v>
      </c>
      <c r="G32" s="268" t="e">
        <f>SUM(N2-N3)</f>
        <v>#REF!</v>
      </c>
      <c r="H32" s="268">
        <f>SUM(P2-P3)</f>
        <v>770</v>
      </c>
      <c r="I32" s="268"/>
      <c r="J32" s="268"/>
      <c r="K32" s="268"/>
      <c r="L32" s="268"/>
      <c r="M32" s="263"/>
    </row>
    <row r="33" spans="1:13" x14ac:dyDescent="0.25">
      <c r="A33" s="249" t="s">
        <v>142</v>
      </c>
      <c r="B33" s="250">
        <v>370</v>
      </c>
      <c r="C33" s="196"/>
      <c r="E33" s="267" t="s">
        <v>94</v>
      </c>
      <c r="F33" s="268">
        <v>0</v>
      </c>
      <c r="G33" s="268">
        <v>0</v>
      </c>
      <c r="H33" s="268"/>
      <c r="I33" s="268"/>
      <c r="J33" s="268"/>
      <c r="K33" s="268"/>
      <c r="L33" s="268"/>
      <c r="M33" s="263"/>
    </row>
    <row r="34" spans="1:13" ht="75" x14ac:dyDescent="0.25">
      <c r="A34" s="249" t="s">
        <v>143</v>
      </c>
      <c r="B34" s="251">
        <v>7135</v>
      </c>
      <c r="C34" s="309" t="s">
        <v>469</v>
      </c>
      <c r="E34" s="270"/>
      <c r="F34" s="271"/>
      <c r="G34" s="272"/>
      <c r="H34" s="272"/>
      <c r="I34" s="272"/>
      <c r="J34" s="272"/>
      <c r="K34" s="272"/>
      <c r="L34" s="272"/>
      <c r="M34" s="263"/>
    </row>
    <row r="35" spans="1:13" x14ac:dyDescent="0.25">
      <c r="A35" s="249" t="s">
        <v>63</v>
      </c>
      <c r="B35" s="251">
        <v>500</v>
      </c>
      <c r="C35" s="196"/>
      <c r="E35" s="273" t="s">
        <v>119</v>
      </c>
      <c r="F35" s="274">
        <f>SUM(L3)</f>
        <v>11100</v>
      </c>
      <c r="G35" s="274">
        <f>SUM(M3)</f>
        <v>12500</v>
      </c>
      <c r="H35" s="274">
        <v>14000</v>
      </c>
      <c r="I35" s="274">
        <f>H$35+1000</f>
        <v>15000</v>
      </c>
      <c r="J35" s="274">
        <f t="shared" ref="J35:L35" si="4">I$35+1000</f>
        <v>16000</v>
      </c>
      <c r="K35" s="274">
        <f t="shared" si="4"/>
        <v>17000</v>
      </c>
      <c r="L35" s="274">
        <f t="shared" si="4"/>
        <v>18000</v>
      </c>
      <c r="M35" s="263"/>
    </row>
    <row r="36" spans="1:13" ht="30" x14ac:dyDescent="0.25">
      <c r="A36" s="238" t="s">
        <v>181</v>
      </c>
      <c r="B36" s="251">
        <v>1500</v>
      </c>
      <c r="C36" s="309" t="s">
        <v>182</v>
      </c>
      <c r="E36" s="270"/>
      <c r="F36" s="271"/>
      <c r="G36" s="272"/>
      <c r="H36" s="272"/>
      <c r="I36" s="272"/>
      <c r="J36" s="272"/>
      <c r="K36" s="272"/>
      <c r="L36" s="272"/>
      <c r="M36" s="263"/>
    </row>
    <row r="37" spans="1:13" ht="30" x14ac:dyDescent="0.25">
      <c r="A37" s="238" t="s">
        <v>513</v>
      </c>
      <c r="B37" s="252">
        <v>200</v>
      </c>
      <c r="C37" s="412" t="s">
        <v>512</v>
      </c>
      <c r="E37" s="275" t="s">
        <v>95</v>
      </c>
      <c r="F37" s="276"/>
      <c r="G37" s="274">
        <v>1400</v>
      </c>
      <c r="H37" s="274">
        <v>1500</v>
      </c>
      <c r="I37" s="274">
        <f>SUM(I35-$G$35)</f>
        <v>2500</v>
      </c>
      <c r="J37" s="274">
        <f t="shared" ref="J37:L37" si="5">SUM(J35-$G$35)</f>
        <v>3500</v>
      </c>
      <c r="K37" s="274">
        <f t="shared" si="5"/>
        <v>4500</v>
      </c>
      <c r="L37" s="274">
        <f t="shared" si="5"/>
        <v>5500</v>
      </c>
      <c r="M37" s="263"/>
    </row>
    <row r="38" spans="1:13" x14ac:dyDescent="0.25">
      <c r="A38" s="249" t="s">
        <v>148</v>
      </c>
      <c r="B38" s="413">
        <v>60</v>
      </c>
      <c r="C38" s="262"/>
      <c r="E38" s="275" t="s">
        <v>96</v>
      </c>
      <c r="F38" s="276"/>
      <c r="G38" s="253">
        <f>G37/$F$35</f>
        <v>0.12612612612612611</v>
      </c>
      <c r="H38" s="253">
        <f>H37/G$35</f>
        <v>0.12</v>
      </c>
      <c r="I38" s="253">
        <f>I37/$H$35</f>
        <v>0.17857142857142858</v>
      </c>
      <c r="J38" s="253">
        <f t="shared" ref="J38:L38" si="6">J37/$H$35</f>
        <v>0.25</v>
      </c>
      <c r="K38" s="253">
        <f t="shared" si="6"/>
        <v>0.32142857142857145</v>
      </c>
      <c r="L38" s="253">
        <f t="shared" si="6"/>
        <v>0.39285714285714285</v>
      </c>
      <c r="M38" s="263"/>
    </row>
    <row r="39" spans="1:13" x14ac:dyDescent="0.25">
      <c r="A39" s="246" t="s">
        <v>84</v>
      </c>
      <c r="B39" s="251">
        <v>5000</v>
      </c>
      <c r="C39" s="196"/>
      <c r="E39" s="270"/>
      <c r="F39" s="271"/>
      <c r="G39" s="278"/>
      <c r="H39" s="278"/>
      <c r="I39" s="278"/>
      <c r="J39" s="278"/>
      <c r="K39" s="278"/>
      <c r="L39" s="278"/>
      <c r="M39" s="263"/>
    </row>
    <row r="40" spans="1:13" x14ac:dyDescent="0.25">
      <c r="A40" s="409" t="s">
        <v>467</v>
      </c>
      <c r="B40" s="251">
        <f>SUM('Bank Recon'!C11)</f>
        <v>14621.65</v>
      </c>
      <c r="C40" s="196"/>
      <c r="E40" s="279"/>
      <c r="F40" s="280"/>
      <c r="G40" s="281"/>
      <c r="H40" s="281"/>
      <c r="I40" s="281"/>
      <c r="J40" s="281"/>
      <c r="K40" s="281"/>
      <c r="L40" s="281"/>
      <c r="M40" s="263"/>
    </row>
    <row r="41" spans="1:13" x14ac:dyDescent="0.25">
      <c r="A41" s="409"/>
      <c r="B41" s="251"/>
      <c r="C41" s="196"/>
      <c r="E41" s="267" t="s">
        <v>97</v>
      </c>
      <c r="F41" s="282"/>
      <c r="G41" s="281"/>
      <c r="H41" s="281"/>
      <c r="I41" s="281"/>
      <c r="J41" s="281"/>
      <c r="K41" s="281"/>
      <c r="L41" s="281"/>
      <c r="M41" s="263"/>
    </row>
    <row r="42" spans="1:13" ht="15.75" thickBot="1" x14ac:dyDescent="0.3">
      <c r="A42" s="410" t="s">
        <v>468</v>
      </c>
      <c r="B42" s="411">
        <f>SUM(B40-B31)</f>
        <v>-143.35000000000036</v>
      </c>
      <c r="C42" s="197"/>
      <c r="E42" s="279"/>
      <c r="F42" s="280"/>
      <c r="G42" s="281"/>
      <c r="H42" s="281"/>
      <c r="I42" s="281"/>
      <c r="J42" s="281"/>
      <c r="K42" s="281"/>
      <c r="L42" s="281"/>
      <c r="M42" s="263"/>
    </row>
    <row r="43" spans="1:13" x14ac:dyDescent="0.25">
      <c r="E43" s="275" t="s">
        <v>98</v>
      </c>
      <c r="F43" s="283">
        <v>303</v>
      </c>
      <c r="G43" s="283">
        <v>309</v>
      </c>
      <c r="H43" s="283">
        <v>303</v>
      </c>
      <c r="I43" s="283">
        <f>SUM(H43)</f>
        <v>303</v>
      </c>
      <c r="J43" s="283">
        <f t="shared" ref="J43:L43" si="7">SUM(I43)</f>
        <v>303</v>
      </c>
      <c r="K43" s="283">
        <f t="shared" si="7"/>
        <v>303</v>
      </c>
      <c r="L43" s="283">
        <f t="shared" si="7"/>
        <v>303</v>
      </c>
      <c r="M43" s="263"/>
    </row>
    <row r="44" spans="1:13" x14ac:dyDescent="0.25">
      <c r="E44" s="275" t="s">
        <v>99</v>
      </c>
      <c r="F44" s="274">
        <f>F35/F43</f>
        <v>36.633663366336634</v>
      </c>
      <c r="G44" s="274">
        <f>G35/G43</f>
        <v>40.453074433656958</v>
      </c>
      <c r="H44" s="274">
        <f>H35/H43</f>
        <v>46.204620462046208</v>
      </c>
      <c r="I44" s="274">
        <f t="shared" ref="I44:L44" si="8">I35/I43</f>
        <v>49.504950495049506</v>
      </c>
      <c r="J44" s="274">
        <f t="shared" si="8"/>
        <v>52.805280528052805</v>
      </c>
      <c r="K44" s="274">
        <f t="shared" si="8"/>
        <v>56.105610561056103</v>
      </c>
      <c r="L44" s="274">
        <f t="shared" si="8"/>
        <v>59.405940594059409</v>
      </c>
      <c r="M44" s="263"/>
    </row>
    <row r="45" spans="1:13" x14ac:dyDescent="0.25">
      <c r="E45" s="273" t="s">
        <v>100</v>
      </c>
      <c r="F45" s="284"/>
      <c r="G45" s="277">
        <f>(G$44-F$44)/F$44</f>
        <v>0.10425959940523047</v>
      </c>
      <c r="H45" s="277">
        <f>(H$44-G$44)/G$44</f>
        <v>0.14217821782178225</v>
      </c>
      <c r="I45" s="277">
        <f>(I$44-$G$44)/$G$44</f>
        <v>0.22376237623762379</v>
      </c>
      <c r="J45" s="277">
        <f t="shared" ref="J45:L45" si="9">(J$44-$G$44)/$G$44</f>
        <v>0.30534653465346534</v>
      </c>
      <c r="K45" s="277">
        <f t="shared" si="9"/>
        <v>0.38693069306930689</v>
      </c>
      <c r="L45" s="277">
        <f t="shared" si="9"/>
        <v>0.4685148514851486</v>
      </c>
      <c r="M45" s="263"/>
    </row>
    <row r="47" spans="1:13" x14ac:dyDescent="0.25">
      <c r="H47" s="288">
        <f>SUM(H44-G44)</f>
        <v>5.7515460283892494</v>
      </c>
      <c r="I47" s="288">
        <f>SUM(I44-$G$44)</f>
        <v>9.051876061392548</v>
      </c>
      <c r="J47" s="288">
        <f t="shared" ref="J47:L47" si="10">SUM(J44-$G$44)</f>
        <v>12.352206094395846</v>
      </c>
      <c r="K47" s="288">
        <f t="shared" si="10"/>
        <v>15.652536127399145</v>
      </c>
      <c r="L47" s="288">
        <f t="shared" si="10"/>
        <v>18.952866160402451</v>
      </c>
    </row>
    <row r="48" spans="1:13" x14ac:dyDescent="0.25">
      <c r="G48" t="s">
        <v>463</v>
      </c>
      <c r="H48" s="288">
        <f>SUM(H$47/12)</f>
        <v>0.47929550236577079</v>
      </c>
      <c r="I48" s="288">
        <f t="shared" ref="I48:L48" si="11">SUM(I$47/12)</f>
        <v>0.75432300511604566</v>
      </c>
      <c r="J48" s="288">
        <f t="shared" si="11"/>
        <v>1.0293505078663205</v>
      </c>
      <c r="K48" s="288">
        <f t="shared" si="11"/>
        <v>1.3043780106165954</v>
      </c>
      <c r="L48" s="288">
        <f t="shared" si="11"/>
        <v>1.579405513366871</v>
      </c>
    </row>
  </sheetData>
  <mergeCells count="2">
    <mergeCell ref="B29:B30"/>
    <mergeCell ref="I29:L29"/>
  </mergeCells>
  <conditionalFormatting sqref="G3:G26">
    <cfRule type="cellIs" dxfId="12" priority="7" operator="between">
      <formula>0</formula>
      <formula>100</formula>
    </cfRule>
    <cfRule type="cellIs" dxfId="11" priority="8" operator="lessThan">
      <formula>0</formula>
    </cfRule>
    <cfRule type="cellIs" dxfId="10" priority="9" operator="greaterThan">
      <formula>100</formula>
    </cfRule>
  </conditionalFormatting>
  <conditionalFormatting sqref="Q3:Q9">
    <cfRule type="cellIs" dxfId="9" priority="1" operator="between">
      <formula>0</formula>
      <formula>100</formula>
    </cfRule>
    <cfRule type="cellIs" dxfId="8" priority="2" operator="lessThan">
      <formula>0</formula>
    </cfRule>
    <cfRule type="cellIs" dxfId="7" priority="3" operator="greaterThan">
      <formula>100</formula>
    </cfRule>
  </conditionalFormatting>
  <conditionalFormatting sqref="Q8:Q9">
    <cfRule type="cellIs" dxfId="6" priority="4" operator="between">
      <formula>0</formula>
      <formula>99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DFB85-923E-4CF0-BFC8-5824F9E1B018}">
  <dimension ref="A1:I14"/>
  <sheetViews>
    <sheetView workbookViewId="0">
      <selection activeCell="F30" sqref="F30"/>
    </sheetView>
  </sheetViews>
  <sheetFormatPr defaultRowHeight="15" x14ac:dyDescent="0.25"/>
  <cols>
    <col min="1" max="1" width="24.42578125" customWidth="1"/>
    <col min="3" max="3" width="13.140625" customWidth="1"/>
    <col min="4" max="4" width="11.85546875" customWidth="1"/>
    <col min="5" max="5" width="15.28515625" customWidth="1"/>
    <col min="6" max="6" width="13.85546875" customWidth="1"/>
    <col min="7" max="7" width="14.85546875" customWidth="1"/>
    <col min="9" max="9" width="55" customWidth="1"/>
  </cols>
  <sheetData>
    <row r="1" spans="1:9" ht="60" x14ac:dyDescent="0.25">
      <c r="A1" s="199"/>
      <c r="B1" s="207" t="s">
        <v>163</v>
      </c>
      <c r="C1" s="208" t="s">
        <v>164</v>
      </c>
      <c r="D1" s="209" t="s">
        <v>165</v>
      </c>
      <c r="E1" s="209" t="s">
        <v>166</v>
      </c>
      <c r="F1" s="209" t="s">
        <v>167</v>
      </c>
      <c r="G1" s="210" t="s">
        <v>85</v>
      </c>
      <c r="H1" s="211" t="s">
        <v>86</v>
      </c>
      <c r="I1" s="212" t="s">
        <v>101</v>
      </c>
    </row>
    <row r="2" spans="1:9" x14ac:dyDescent="0.25">
      <c r="A2" s="213" t="s">
        <v>88</v>
      </c>
      <c r="B2" s="214">
        <f t="shared" ref="B2:G2" si="0">SUM(B3:B7)</f>
        <v>0</v>
      </c>
      <c r="C2" s="214">
        <f t="shared" si="0"/>
        <v>12850</v>
      </c>
      <c r="D2" s="214" t="e">
        <f t="shared" si="0"/>
        <v>#REF!</v>
      </c>
      <c r="E2" s="214">
        <f t="shared" si="0"/>
        <v>17977.280000000002</v>
      </c>
      <c r="F2" s="214">
        <f t="shared" si="0"/>
        <v>13150</v>
      </c>
      <c r="G2" s="214">
        <f t="shared" si="0"/>
        <v>300</v>
      </c>
      <c r="H2" s="215"/>
      <c r="I2" s="216"/>
    </row>
    <row r="3" spans="1:9" x14ac:dyDescent="0.25">
      <c r="A3" s="307" t="s">
        <v>132</v>
      </c>
      <c r="B3" s="201">
        <f>SUM('Hall 2024-25 Running'!A13)</f>
        <v>0</v>
      </c>
      <c r="C3" s="202">
        <v>1600</v>
      </c>
      <c r="D3" s="203" t="e">
        <f>SUM('Hall 2024-25 Running'!I13)</f>
        <v>#REF!</v>
      </c>
      <c r="E3" s="204">
        <v>1545.04</v>
      </c>
      <c r="F3" s="203">
        <v>1600</v>
      </c>
      <c r="G3" s="204">
        <f t="shared" ref="G3:G7" si="1">F3-C3</f>
        <v>0</v>
      </c>
      <c r="H3" s="205"/>
      <c r="I3" s="206" t="s">
        <v>462</v>
      </c>
    </row>
    <row r="4" spans="1:9" x14ac:dyDescent="0.25">
      <c r="A4" s="307" t="s">
        <v>177</v>
      </c>
      <c r="B4" s="201">
        <f>SUM('Hall 2024-25 Running'!A14)</f>
        <v>0</v>
      </c>
      <c r="C4" s="202">
        <v>10000</v>
      </c>
      <c r="D4" s="203" t="e">
        <f>SUM('Hall 2024-25 Running'!I14)</f>
        <v>#REF!</v>
      </c>
      <c r="E4" s="204">
        <v>15000</v>
      </c>
      <c r="F4" s="203">
        <v>10000</v>
      </c>
      <c r="G4" s="204">
        <f t="shared" si="1"/>
        <v>0</v>
      </c>
      <c r="H4" s="205"/>
      <c r="I4" s="206" t="s">
        <v>523</v>
      </c>
    </row>
    <row r="5" spans="1:9" x14ac:dyDescent="0.25">
      <c r="A5" s="307" t="s">
        <v>134</v>
      </c>
      <c r="B5" s="201">
        <f>SUM('Hall 2024-25 Running'!A15)</f>
        <v>0</v>
      </c>
      <c r="C5" s="202">
        <v>200</v>
      </c>
      <c r="D5" s="203" t="e">
        <f>SUM('Hall 2024-25 Running'!I15)</f>
        <v>#REF!</v>
      </c>
      <c r="E5" s="204">
        <v>100</v>
      </c>
      <c r="F5" s="203">
        <v>200</v>
      </c>
      <c r="G5" s="204">
        <f t="shared" si="1"/>
        <v>0</v>
      </c>
      <c r="H5" s="205"/>
      <c r="I5" s="206"/>
    </row>
    <row r="6" spans="1:9" x14ac:dyDescent="0.25">
      <c r="A6" s="307" t="s">
        <v>135</v>
      </c>
      <c r="B6" s="201">
        <f>SUM('Hall 2024-25 Running'!A16)</f>
        <v>0</v>
      </c>
      <c r="C6" s="202">
        <v>300</v>
      </c>
      <c r="D6" s="203" t="e">
        <f>SUM('Hall 2024-25 Running'!I16)</f>
        <v>#REF!</v>
      </c>
      <c r="E6" s="204">
        <v>500</v>
      </c>
      <c r="F6" s="203">
        <v>500</v>
      </c>
      <c r="G6" s="204">
        <f t="shared" si="1"/>
        <v>200</v>
      </c>
      <c r="H6" s="205"/>
      <c r="I6" s="206"/>
    </row>
    <row r="7" spans="1:9" x14ac:dyDescent="0.25">
      <c r="A7" s="307" t="s">
        <v>136</v>
      </c>
      <c r="B7" s="201">
        <f>SUM('Hall 2024-25 Running'!A17)</f>
        <v>0</v>
      </c>
      <c r="C7" s="202">
        <v>750</v>
      </c>
      <c r="D7" s="203" t="e">
        <f>SUM('Hall 2024-25 Running'!I17)</f>
        <v>#REF!</v>
      </c>
      <c r="E7" s="204">
        <v>832.24</v>
      </c>
      <c r="F7" s="203">
        <v>850</v>
      </c>
      <c r="G7" s="204">
        <f t="shared" si="1"/>
        <v>100</v>
      </c>
      <c r="H7" s="205"/>
      <c r="I7" s="206"/>
    </row>
    <row r="9" spans="1:9" ht="60" x14ac:dyDescent="0.25">
      <c r="A9" s="199"/>
      <c r="B9" s="207" t="s">
        <v>163</v>
      </c>
      <c r="C9" s="208" t="s">
        <v>164</v>
      </c>
      <c r="D9" s="209" t="s">
        <v>165</v>
      </c>
      <c r="E9" s="209" t="s">
        <v>166</v>
      </c>
      <c r="F9" s="209" t="s">
        <v>167</v>
      </c>
      <c r="G9" s="210" t="s">
        <v>85</v>
      </c>
      <c r="H9" s="212" t="s">
        <v>101</v>
      </c>
    </row>
    <row r="10" spans="1:9" x14ac:dyDescent="0.25">
      <c r="A10" s="233" t="s">
        <v>90</v>
      </c>
      <c r="B10" s="234">
        <f t="shared" ref="B10:G10" si="2">SUM(B11:B14)</f>
        <v>0</v>
      </c>
      <c r="C10" s="234">
        <f t="shared" si="2"/>
        <v>12775</v>
      </c>
      <c r="D10" s="234" t="e">
        <f t="shared" si="2"/>
        <v>#REF!</v>
      </c>
      <c r="E10" s="234">
        <f t="shared" si="2"/>
        <v>12775</v>
      </c>
      <c r="F10" s="234">
        <f t="shared" si="2"/>
        <v>13800.5</v>
      </c>
      <c r="G10" s="235">
        <f t="shared" si="2"/>
        <v>1025.5</v>
      </c>
      <c r="H10" s="235"/>
    </row>
    <row r="11" spans="1:9" x14ac:dyDescent="0.25">
      <c r="A11" s="307" t="s">
        <v>180</v>
      </c>
      <c r="B11" s="236">
        <f>SUM('Hall 2024-25 Running'!A6)</f>
        <v>0</v>
      </c>
      <c r="C11" s="237">
        <f>SUM('Hall 2024-25 Running'!E6)</f>
        <v>5700</v>
      </c>
      <c r="D11" s="237" t="e">
        <f>SUM('Hall 2024-25 Running'!I6)</f>
        <v>#REF!</v>
      </c>
      <c r="E11" s="237">
        <v>5700</v>
      </c>
      <c r="F11" s="237">
        <v>2578.5</v>
      </c>
      <c r="G11" s="204">
        <f t="shared" ref="G11:G14" si="3">F11-C11</f>
        <v>-3121.5</v>
      </c>
      <c r="H11" s="508" t="s">
        <v>466</v>
      </c>
    </row>
    <row r="12" spans="1:9" ht="15" customHeight="1" x14ac:dyDescent="0.25">
      <c r="A12" s="307" t="s">
        <v>140</v>
      </c>
      <c r="B12" s="236">
        <f>SUM('Hall 2024-25 Running'!A7)</f>
        <v>0</v>
      </c>
      <c r="C12" s="237">
        <f>SUM('Hall 2024-25 Running'!E7)</f>
        <v>3050</v>
      </c>
      <c r="D12" s="237" t="e">
        <f>SUM('Hall 2024-25 Running'!I7)</f>
        <v>#REF!</v>
      </c>
      <c r="E12" s="237">
        <v>3050</v>
      </c>
      <c r="F12" s="237">
        <v>7116</v>
      </c>
      <c r="G12" s="204">
        <f t="shared" si="3"/>
        <v>4066</v>
      </c>
      <c r="H12" s="509"/>
    </row>
    <row r="13" spans="1:9" x14ac:dyDescent="0.25">
      <c r="A13" s="307" t="s">
        <v>139</v>
      </c>
      <c r="B13" s="236">
        <f>SUM('Hall 2024-25 Running'!A8)</f>
        <v>0</v>
      </c>
      <c r="C13" s="237">
        <f>SUM('Hall 2024-25 Running'!E8)</f>
        <v>150</v>
      </c>
      <c r="D13" s="237" t="e">
        <f>SUM('Hall 2024-25 Running'!I8)</f>
        <v>#REF!</v>
      </c>
      <c r="E13" s="237">
        <v>150</v>
      </c>
      <c r="F13" s="237">
        <v>231</v>
      </c>
      <c r="G13" s="204">
        <f t="shared" si="3"/>
        <v>81</v>
      </c>
      <c r="H13" s="509"/>
    </row>
    <row r="14" spans="1:9" x14ac:dyDescent="0.25">
      <c r="A14" s="307" t="s">
        <v>172</v>
      </c>
      <c r="B14" s="236">
        <f>SUM('Hall 2024-25 Running'!A9)</f>
        <v>0</v>
      </c>
      <c r="C14" s="237">
        <f>SUM('Hall 2024-25 Running'!E9)</f>
        <v>3875</v>
      </c>
      <c r="D14" s="237" t="e">
        <f>SUM('Hall 2024-25 Running'!I9)</f>
        <v>#REF!</v>
      </c>
      <c r="E14" s="237">
        <v>3875</v>
      </c>
      <c r="F14" s="237">
        <v>3875</v>
      </c>
      <c r="G14" s="204">
        <f t="shared" si="3"/>
        <v>0</v>
      </c>
      <c r="H14" s="510"/>
      <c r="I14">
        <v>250</v>
      </c>
    </row>
  </sheetData>
  <mergeCells count="1">
    <mergeCell ref="H11:H14"/>
  </mergeCells>
  <conditionalFormatting sqref="G3:G7 G11:G14">
    <cfRule type="cellIs" dxfId="5" priority="5" operator="between">
      <formula>0</formula>
      <formula>100</formula>
    </cfRule>
    <cfRule type="cellIs" dxfId="4" priority="6" operator="lessThan">
      <formula>0</formula>
    </cfRule>
    <cfRule type="cellIs" dxfId="3" priority="7" operator="greaterThan">
      <formula>100</formula>
    </cfRule>
  </conditionalFormatting>
  <conditionalFormatting sqref="G11:G14">
    <cfRule type="cellIs" dxfId="2" priority="4" operator="between">
      <formula>0</formula>
      <formula>99</formula>
    </cfRule>
  </conditionalFormatting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2B9BC-F5F9-4F8A-9286-D7B5837C89DB}">
  <sheetPr codeName="Sheet2">
    <tabColor rgb="FFFF0000"/>
  </sheetPr>
  <dimension ref="A1:O57"/>
  <sheetViews>
    <sheetView zoomScale="90" zoomScaleNormal="90" workbookViewId="0">
      <selection activeCell="G31" sqref="G31"/>
    </sheetView>
  </sheetViews>
  <sheetFormatPr defaultColWidth="8.7109375" defaultRowHeight="15.75" x14ac:dyDescent="0.25"/>
  <cols>
    <col min="1" max="1" width="13.85546875" customWidth="1"/>
    <col min="2" max="2" width="0.85546875" customWidth="1"/>
    <col min="3" max="3" width="28.140625" customWidth="1"/>
    <col min="4" max="4" width="0.85546875" customWidth="1"/>
    <col min="5" max="5" width="15.42578125" customWidth="1"/>
    <col min="6" max="6" width="0.85546875" customWidth="1"/>
    <col min="7" max="7" width="30" customWidth="1"/>
    <col min="8" max="8" width="0.85546875" customWidth="1"/>
    <col min="9" max="9" width="17.140625" customWidth="1"/>
    <col min="10" max="10" width="17" style="300" customWidth="1"/>
    <col min="11" max="11" width="18.85546875" style="428" customWidth="1"/>
    <col min="12" max="12" width="12.7109375" style="419" customWidth="1"/>
    <col min="257" max="257" width="13.85546875" customWidth="1"/>
    <col min="258" max="258" width="0.85546875" customWidth="1"/>
    <col min="259" max="259" width="28.140625" customWidth="1"/>
    <col min="260" max="260" width="0.85546875" customWidth="1"/>
    <col min="261" max="261" width="15.42578125" customWidth="1"/>
    <col min="262" max="262" width="0.85546875" customWidth="1"/>
    <col min="263" max="263" width="30" customWidth="1"/>
    <col min="264" max="264" width="0.85546875" customWidth="1"/>
    <col min="265" max="265" width="17.140625" customWidth="1"/>
    <col min="513" max="513" width="13.85546875" customWidth="1"/>
    <col min="514" max="514" width="0.85546875" customWidth="1"/>
    <col min="515" max="515" width="28.140625" customWidth="1"/>
    <col min="516" max="516" width="0.85546875" customWidth="1"/>
    <col min="517" max="517" width="15.42578125" customWidth="1"/>
    <col min="518" max="518" width="0.85546875" customWidth="1"/>
    <col min="519" max="519" width="30" customWidth="1"/>
    <col min="520" max="520" width="0.85546875" customWidth="1"/>
    <col min="521" max="521" width="17.140625" customWidth="1"/>
    <col min="769" max="769" width="13.85546875" customWidth="1"/>
    <col min="770" max="770" width="0.85546875" customWidth="1"/>
    <col min="771" max="771" width="28.140625" customWidth="1"/>
    <col min="772" max="772" width="0.85546875" customWidth="1"/>
    <col min="773" max="773" width="15.42578125" customWidth="1"/>
    <col min="774" max="774" width="0.85546875" customWidth="1"/>
    <col min="775" max="775" width="30" customWidth="1"/>
    <col min="776" max="776" width="0.85546875" customWidth="1"/>
    <col min="777" max="777" width="17.140625" customWidth="1"/>
    <col min="1025" max="1025" width="13.85546875" customWidth="1"/>
    <col min="1026" max="1026" width="0.85546875" customWidth="1"/>
    <col min="1027" max="1027" width="28.140625" customWidth="1"/>
    <col min="1028" max="1028" width="0.85546875" customWidth="1"/>
    <col min="1029" max="1029" width="15.42578125" customWidth="1"/>
    <col min="1030" max="1030" width="0.85546875" customWidth="1"/>
    <col min="1031" max="1031" width="30" customWidth="1"/>
    <col min="1032" max="1032" width="0.85546875" customWidth="1"/>
    <col min="1033" max="1033" width="17.140625" customWidth="1"/>
    <col min="1281" max="1281" width="13.85546875" customWidth="1"/>
    <col min="1282" max="1282" width="0.85546875" customWidth="1"/>
    <col min="1283" max="1283" width="28.140625" customWidth="1"/>
    <col min="1284" max="1284" width="0.85546875" customWidth="1"/>
    <col min="1285" max="1285" width="15.42578125" customWidth="1"/>
    <col min="1286" max="1286" width="0.85546875" customWidth="1"/>
    <col min="1287" max="1287" width="30" customWidth="1"/>
    <col min="1288" max="1288" width="0.85546875" customWidth="1"/>
    <col min="1289" max="1289" width="17.140625" customWidth="1"/>
    <col min="1537" max="1537" width="13.85546875" customWidth="1"/>
    <col min="1538" max="1538" width="0.85546875" customWidth="1"/>
    <col min="1539" max="1539" width="28.140625" customWidth="1"/>
    <col min="1540" max="1540" width="0.85546875" customWidth="1"/>
    <col min="1541" max="1541" width="15.42578125" customWidth="1"/>
    <col min="1542" max="1542" width="0.85546875" customWidth="1"/>
    <col min="1543" max="1543" width="30" customWidth="1"/>
    <col min="1544" max="1544" width="0.85546875" customWidth="1"/>
    <col min="1545" max="1545" width="17.140625" customWidth="1"/>
    <col min="1793" max="1793" width="13.85546875" customWidth="1"/>
    <col min="1794" max="1794" width="0.85546875" customWidth="1"/>
    <col min="1795" max="1795" width="28.140625" customWidth="1"/>
    <col min="1796" max="1796" width="0.85546875" customWidth="1"/>
    <col min="1797" max="1797" width="15.42578125" customWidth="1"/>
    <col min="1798" max="1798" width="0.85546875" customWidth="1"/>
    <col min="1799" max="1799" width="30" customWidth="1"/>
    <col min="1800" max="1800" width="0.85546875" customWidth="1"/>
    <col min="1801" max="1801" width="17.140625" customWidth="1"/>
    <col min="2049" max="2049" width="13.85546875" customWidth="1"/>
    <col min="2050" max="2050" width="0.85546875" customWidth="1"/>
    <col min="2051" max="2051" width="28.140625" customWidth="1"/>
    <col min="2052" max="2052" width="0.85546875" customWidth="1"/>
    <col min="2053" max="2053" width="15.42578125" customWidth="1"/>
    <col min="2054" max="2054" width="0.85546875" customWidth="1"/>
    <col min="2055" max="2055" width="30" customWidth="1"/>
    <col min="2056" max="2056" width="0.85546875" customWidth="1"/>
    <col min="2057" max="2057" width="17.140625" customWidth="1"/>
    <col min="2305" max="2305" width="13.85546875" customWidth="1"/>
    <col min="2306" max="2306" width="0.85546875" customWidth="1"/>
    <col min="2307" max="2307" width="28.140625" customWidth="1"/>
    <col min="2308" max="2308" width="0.85546875" customWidth="1"/>
    <col min="2309" max="2309" width="15.42578125" customWidth="1"/>
    <col min="2310" max="2310" width="0.85546875" customWidth="1"/>
    <col min="2311" max="2311" width="30" customWidth="1"/>
    <col min="2312" max="2312" width="0.85546875" customWidth="1"/>
    <col min="2313" max="2313" width="17.140625" customWidth="1"/>
    <col min="2561" max="2561" width="13.85546875" customWidth="1"/>
    <col min="2562" max="2562" width="0.85546875" customWidth="1"/>
    <col min="2563" max="2563" width="28.140625" customWidth="1"/>
    <col min="2564" max="2564" width="0.85546875" customWidth="1"/>
    <col min="2565" max="2565" width="15.42578125" customWidth="1"/>
    <col min="2566" max="2566" width="0.85546875" customWidth="1"/>
    <col min="2567" max="2567" width="30" customWidth="1"/>
    <col min="2568" max="2568" width="0.85546875" customWidth="1"/>
    <col min="2569" max="2569" width="17.140625" customWidth="1"/>
    <col min="2817" max="2817" width="13.85546875" customWidth="1"/>
    <col min="2818" max="2818" width="0.85546875" customWidth="1"/>
    <col min="2819" max="2819" width="28.140625" customWidth="1"/>
    <col min="2820" max="2820" width="0.85546875" customWidth="1"/>
    <col min="2821" max="2821" width="15.42578125" customWidth="1"/>
    <col min="2822" max="2822" width="0.85546875" customWidth="1"/>
    <col min="2823" max="2823" width="30" customWidth="1"/>
    <col min="2824" max="2824" width="0.85546875" customWidth="1"/>
    <col min="2825" max="2825" width="17.140625" customWidth="1"/>
    <col min="3073" max="3073" width="13.85546875" customWidth="1"/>
    <col min="3074" max="3074" width="0.85546875" customWidth="1"/>
    <col min="3075" max="3075" width="28.140625" customWidth="1"/>
    <col min="3076" max="3076" width="0.85546875" customWidth="1"/>
    <col min="3077" max="3077" width="15.42578125" customWidth="1"/>
    <col min="3078" max="3078" width="0.85546875" customWidth="1"/>
    <col min="3079" max="3079" width="30" customWidth="1"/>
    <col min="3080" max="3080" width="0.85546875" customWidth="1"/>
    <col min="3081" max="3081" width="17.140625" customWidth="1"/>
    <col min="3329" max="3329" width="13.85546875" customWidth="1"/>
    <col min="3330" max="3330" width="0.85546875" customWidth="1"/>
    <col min="3331" max="3331" width="28.140625" customWidth="1"/>
    <col min="3332" max="3332" width="0.85546875" customWidth="1"/>
    <col min="3333" max="3333" width="15.42578125" customWidth="1"/>
    <col min="3334" max="3334" width="0.85546875" customWidth="1"/>
    <col min="3335" max="3335" width="30" customWidth="1"/>
    <col min="3336" max="3336" width="0.85546875" customWidth="1"/>
    <col min="3337" max="3337" width="17.140625" customWidth="1"/>
    <col min="3585" max="3585" width="13.85546875" customWidth="1"/>
    <col min="3586" max="3586" width="0.85546875" customWidth="1"/>
    <col min="3587" max="3587" width="28.140625" customWidth="1"/>
    <col min="3588" max="3588" width="0.85546875" customWidth="1"/>
    <col min="3589" max="3589" width="15.42578125" customWidth="1"/>
    <col min="3590" max="3590" width="0.85546875" customWidth="1"/>
    <col min="3591" max="3591" width="30" customWidth="1"/>
    <col min="3592" max="3592" width="0.85546875" customWidth="1"/>
    <col min="3593" max="3593" width="17.140625" customWidth="1"/>
    <col min="3841" max="3841" width="13.85546875" customWidth="1"/>
    <col min="3842" max="3842" width="0.85546875" customWidth="1"/>
    <col min="3843" max="3843" width="28.140625" customWidth="1"/>
    <col min="3844" max="3844" width="0.85546875" customWidth="1"/>
    <col min="3845" max="3845" width="15.42578125" customWidth="1"/>
    <col min="3846" max="3846" width="0.85546875" customWidth="1"/>
    <col min="3847" max="3847" width="30" customWidth="1"/>
    <col min="3848" max="3848" width="0.85546875" customWidth="1"/>
    <col min="3849" max="3849" width="17.140625" customWidth="1"/>
    <col min="4097" max="4097" width="13.85546875" customWidth="1"/>
    <col min="4098" max="4098" width="0.85546875" customWidth="1"/>
    <col min="4099" max="4099" width="28.140625" customWidth="1"/>
    <col min="4100" max="4100" width="0.85546875" customWidth="1"/>
    <col min="4101" max="4101" width="15.42578125" customWidth="1"/>
    <col min="4102" max="4102" width="0.85546875" customWidth="1"/>
    <col min="4103" max="4103" width="30" customWidth="1"/>
    <col min="4104" max="4104" width="0.85546875" customWidth="1"/>
    <col min="4105" max="4105" width="17.140625" customWidth="1"/>
    <col min="4353" max="4353" width="13.85546875" customWidth="1"/>
    <col min="4354" max="4354" width="0.85546875" customWidth="1"/>
    <col min="4355" max="4355" width="28.140625" customWidth="1"/>
    <col min="4356" max="4356" width="0.85546875" customWidth="1"/>
    <col min="4357" max="4357" width="15.42578125" customWidth="1"/>
    <col min="4358" max="4358" width="0.85546875" customWidth="1"/>
    <col min="4359" max="4359" width="30" customWidth="1"/>
    <col min="4360" max="4360" width="0.85546875" customWidth="1"/>
    <col min="4361" max="4361" width="17.140625" customWidth="1"/>
    <col min="4609" max="4609" width="13.85546875" customWidth="1"/>
    <col min="4610" max="4610" width="0.85546875" customWidth="1"/>
    <col min="4611" max="4611" width="28.140625" customWidth="1"/>
    <col min="4612" max="4612" width="0.85546875" customWidth="1"/>
    <col min="4613" max="4613" width="15.42578125" customWidth="1"/>
    <col min="4614" max="4614" width="0.85546875" customWidth="1"/>
    <col min="4615" max="4615" width="30" customWidth="1"/>
    <col min="4616" max="4616" width="0.85546875" customWidth="1"/>
    <col min="4617" max="4617" width="17.140625" customWidth="1"/>
    <col min="4865" max="4865" width="13.85546875" customWidth="1"/>
    <col min="4866" max="4866" width="0.85546875" customWidth="1"/>
    <col min="4867" max="4867" width="28.140625" customWidth="1"/>
    <col min="4868" max="4868" width="0.85546875" customWidth="1"/>
    <col min="4869" max="4869" width="15.42578125" customWidth="1"/>
    <col min="4870" max="4870" width="0.85546875" customWidth="1"/>
    <col min="4871" max="4871" width="30" customWidth="1"/>
    <col min="4872" max="4872" width="0.85546875" customWidth="1"/>
    <col min="4873" max="4873" width="17.140625" customWidth="1"/>
    <col min="5121" max="5121" width="13.85546875" customWidth="1"/>
    <col min="5122" max="5122" width="0.85546875" customWidth="1"/>
    <col min="5123" max="5123" width="28.140625" customWidth="1"/>
    <col min="5124" max="5124" width="0.85546875" customWidth="1"/>
    <col min="5125" max="5125" width="15.42578125" customWidth="1"/>
    <col min="5126" max="5126" width="0.85546875" customWidth="1"/>
    <col min="5127" max="5127" width="30" customWidth="1"/>
    <col min="5128" max="5128" width="0.85546875" customWidth="1"/>
    <col min="5129" max="5129" width="17.140625" customWidth="1"/>
    <col min="5377" max="5377" width="13.85546875" customWidth="1"/>
    <col min="5378" max="5378" width="0.85546875" customWidth="1"/>
    <col min="5379" max="5379" width="28.140625" customWidth="1"/>
    <col min="5380" max="5380" width="0.85546875" customWidth="1"/>
    <col min="5381" max="5381" width="15.42578125" customWidth="1"/>
    <col min="5382" max="5382" width="0.85546875" customWidth="1"/>
    <col min="5383" max="5383" width="30" customWidth="1"/>
    <col min="5384" max="5384" width="0.85546875" customWidth="1"/>
    <col min="5385" max="5385" width="17.140625" customWidth="1"/>
    <col min="5633" max="5633" width="13.85546875" customWidth="1"/>
    <col min="5634" max="5634" width="0.85546875" customWidth="1"/>
    <col min="5635" max="5635" width="28.140625" customWidth="1"/>
    <col min="5636" max="5636" width="0.85546875" customWidth="1"/>
    <col min="5637" max="5637" width="15.42578125" customWidth="1"/>
    <col min="5638" max="5638" width="0.85546875" customWidth="1"/>
    <col min="5639" max="5639" width="30" customWidth="1"/>
    <col min="5640" max="5640" width="0.85546875" customWidth="1"/>
    <col min="5641" max="5641" width="17.140625" customWidth="1"/>
    <col min="5889" max="5889" width="13.85546875" customWidth="1"/>
    <col min="5890" max="5890" width="0.85546875" customWidth="1"/>
    <col min="5891" max="5891" width="28.140625" customWidth="1"/>
    <col min="5892" max="5892" width="0.85546875" customWidth="1"/>
    <col min="5893" max="5893" width="15.42578125" customWidth="1"/>
    <col min="5894" max="5894" width="0.85546875" customWidth="1"/>
    <col min="5895" max="5895" width="30" customWidth="1"/>
    <col min="5896" max="5896" width="0.85546875" customWidth="1"/>
    <col min="5897" max="5897" width="17.140625" customWidth="1"/>
    <col min="6145" max="6145" width="13.85546875" customWidth="1"/>
    <col min="6146" max="6146" width="0.85546875" customWidth="1"/>
    <col min="6147" max="6147" width="28.140625" customWidth="1"/>
    <col min="6148" max="6148" width="0.85546875" customWidth="1"/>
    <col min="6149" max="6149" width="15.42578125" customWidth="1"/>
    <col min="6150" max="6150" width="0.85546875" customWidth="1"/>
    <col min="6151" max="6151" width="30" customWidth="1"/>
    <col min="6152" max="6152" width="0.85546875" customWidth="1"/>
    <col min="6153" max="6153" width="17.140625" customWidth="1"/>
    <col min="6401" max="6401" width="13.85546875" customWidth="1"/>
    <col min="6402" max="6402" width="0.85546875" customWidth="1"/>
    <col min="6403" max="6403" width="28.140625" customWidth="1"/>
    <col min="6404" max="6404" width="0.85546875" customWidth="1"/>
    <col min="6405" max="6405" width="15.42578125" customWidth="1"/>
    <col min="6406" max="6406" width="0.85546875" customWidth="1"/>
    <col min="6407" max="6407" width="30" customWidth="1"/>
    <col min="6408" max="6408" width="0.85546875" customWidth="1"/>
    <col min="6409" max="6409" width="17.140625" customWidth="1"/>
    <col min="6657" max="6657" width="13.85546875" customWidth="1"/>
    <col min="6658" max="6658" width="0.85546875" customWidth="1"/>
    <col min="6659" max="6659" width="28.140625" customWidth="1"/>
    <col min="6660" max="6660" width="0.85546875" customWidth="1"/>
    <col min="6661" max="6661" width="15.42578125" customWidth="1"/>
    <col min="6662" max="6662" width="0.85546875" customWidth="1"/>
    <col min="6663" max="6663" width="30" customWidth="1"/>
    <col min="6664" max="6664" width="0.85546875" customWidth="1"/>
    <col min="6665" max="6665" width="17.140625" customWidth="1"/>
    <col min="6913" max="6913" width="13.85546875" customWidth="1"/>
    <col min="6914" max="6914" width="0.85546875" customWidth="1"/>
    <col min="6915" max="6915" width="28.140625" customWidth="1"/>
    <col min="6916" max="6916" width="0.85546875" customWidth="1"/>
    <col min="6917" max="6917" width="15.42578125" customWidth="1"/>
    <col min="6918" max="6918" width="0.85546875" customWidth="1"/>
    <col min="6919" max="6919" width="30" customWidth="1"/>
    <col min="6920" max="6920" width="0.85546875" customWidth="1"/>
    <col min="6921" max="6921" width="17.140625" customWidth="1"/>
    <col min="7169" max="7169" width="13.85546875" customWidth="1"/>
    <col min="7170" max="7170" width="0.85546875" customWidth="1"/>
    <col min="7171" max="7171" width="28.140625" customWidth="1"/>
    <col min="7172" max="7172" width="0.85546875" customWidth="1"/>
    <col min="7173" max="7173" width="15.42578125" customWidth="1"/>
    <col min="7174" max="7174" width="0.85546875" customWidth="1"/>
    <col min="7175" max="7175" width="30" customWidth="1"/>
    <col min="7176" max="7176" width="0.85546875" customWidth="1"/>
    <col min="7177" max="7177" width="17.140625" customWidth="1"/>
    <col min="7425" max="7425" width="13.85546875" customWidth="1"/>
    <col min="7426" max="7426" width="0.85546875" customWidth="1"/>
    <col min="7427" max="7427" width="28.140625" customWidth="1"/>
    <col min="7428" max="7428" width="0.85546875" customWidth="1"/>
    <col min="7429" max="7429" width="15.42578125" customWidth="1"/>
    <col min="7430" max="7430" width="0.85546875" customWidth="1"/>
    <col min="7431" max="7431" width="30" customWidth="1"/>
    <col min="7432" max="7432" width="0.85546875" customWidth="1"/>
    <col min="7433" max="7433" width="17.140625" customWidth="1"/>
    <col min="7681" max="7681" width="13.85546875" customWidth="1"/>
    <col min="7682" max="7682" width="0.85546875" customWidth="1"/>
    <col min="7683" max="7683" width="28.140625" customWidth="1"/>
    <col min="7684" max="7684" width="0.85546875" customWidth="1"/>
    <col min="7685" max="7685" width="15.42578125" customWidth="1"/>
    <col min="7686" max="7686" width="0.85546875" customWidth="1"/>
    <col min="7687" max="7687" width="30" customWidth="1"/>
    <col min="7688" max="7688" width="0.85546875" customWidth="1"/>
    <col min="7689" max="7689" width="17.140625" customWidth="1"/>
    <col min="7937" max="7937" width="13.85546875" customWidth="1"/>
    <col min="7938" max="7938" width="0.85546875" customWidth="1"/>
    <col min="7939" max="7939" width="28.140625" customWidth="1"/>
    <col min="7940" max="7940" width="0.85546875" customWidth="1"/>
    <col min="7941" max="7941" width="15.42578125" customWidth="1"/>
    <col min="7942" max="7942" width="0.85546875" customWidth="1"/>
    <col min="7943" max="7943" width="30" customWidth="1"/>
    <col min="7944" max="7944" width="0.85546875" customWidth="1"/>
    <col min="7945" max="7945" width="17.140625" customWidth="1"/>
    <col min="8193" max="8193" width="13.85546875" customWidth="1"/>
    <col min="8194" max="8194" width="0.85546875" customWidth="1"/>
    <col min="8195" max="8195" width="28.140625" customWidth="1"/>
    <col min="8196" max="8196" width="0.85546875" customWidth="1"/>
    <col min="8197" max="8197" width="15.42578125" customWidth="1"/>
    <col min="8198" max="8198" width="0.85546875" customWidth="1"/>
    <col min="8199" max="8199" width="30" customWidth="1"/>
    <col min="8200" max="8200" width="0.85546875" customWidth="1"/>
    <col min="8201" max="8201" width="17.140625" customWidth="1"/>
    <col min="8449" max="8449" width="13.85546875" customWidth="1"/>
    <col min="8450" max="8450" width="0.85546875" customWidth="1"/>
    <col min="8451" max="8451" width="28.140625" customWidth="1"/>
    <col min="8452" max="8452" width="0.85546875" customWidth="1"/>
    <col min="8453" max="8453" width="15.42578125" customWidth="1"/>
    <col min="8454" max="8454" width="0.85546875" customWidth="1"/>
    <col min="8455" max="8455" width="30" customWidth="1"/>
    <col min="8456" max="8456" width="0.85546875" customWidth="1"/>
    <col min="8457" max="8457" width="17.140625" customWidth="1"/>
    <col min="8705" max="8705" width="13.85546875" customWidth="1"/>
    <col min="8706" max="8706" width="0.85546875" customWidth="1"/>
    <col min="8707" max="8707" width="28.140625" customWidth="1"/>
    <col min="8708" max="8708" width="0.85546875" customWidth="1"/>
    <col min="8709" max="8709" width="15.42578125" customWidth="1"/>
    <col min="8710" max="8710" width="0.85546875" customWidth="1"/>
    <col min="8711" max="8711" width="30" customWidth="1"/>
    <col min="8712" max="8712" width="0.85546875" customWidth="1"/>
    <col min="8713" max="8713" width="17.140625" customWidth="1"/>
    <col min="8961" max="8961" width="13.85546875" customWidth="1"/>
    <col min="8962" max="8962" width="0.85546875" customWidth="1"/>
    <col min="8963" max="8963" width="28.140625" customWidth="1"/>
    <col min="8964" max="8964" width="0.85546875" customWidth="1"/>
    <col min="8965" max="8965" width="15.42578125" customWidth="1"/>
    <col min="8966" max="8966" width="0.85546875" customWidth="1"/>
    <col min="8967" max="8967" width="30" customWidth="1"/>
    <col min="8968" max="8968" width="0.85546875" customWidth="1"/>
    <col min="8969" max="8969" width="17.140625" customWidth="1"/>
    <col min="9217" max="9217" width="13.85546875" customWidth="1"/>
    <col min="9218" max="9218" width="0.85546875" customWidth="1"/>
    <col min="9219" max="9219" width="28.140625" customWidth="1"/>
    <col min="9220" max="9220" width="0.85546875" customWidth="1"/>
    <col min="9221" max="9221" width="15.42578125" customWidth="1"/>
    <col min="9222" max="9222" width="0.85546875" customWidth="1"/>
    <col min="9223" max="9223" width="30" customWidth="1"/>
    <col min="9224" max="9224" width="0.85546875" customWidth="1"/>
    <col min="9225" max="9225" width="17.140625" customWidth="1"/>
    <col min="9473" max="9473" width="13.85546875" customWidth="1"/>
    <col min="9474" max="9474" width="0.85546875" customWidth="1"/>
    <col min="9475" max="9475" width="28.140625" customWidth="1"/>
    <col min="9476" max="9476" width="0.85546875" customWidth="1"/>
    <col min="9477" max="9477" width="15.42578125" customWidth="1"/>
    <col min="9478" max="9478" width="0.85546875" customWidth="1"/>
    <col min="9479" max="9479" width="30" customWidth="1"/>
    <col min="9480" max="9480" width="0.85546875" customWidth="1"/>
    <col min="9481" max="9481" width="17.140625" customWidth="1"/>
    <col min="9729" max="9729" width="13.85546875" customWidth="1"/>
    <col min="9730" max="9730" width="0.85546875" customWidth="1"/>
    <col min="9731" max="9731" width="28.140625" customWidth="1"/>
    <col min="9732" max="9732" width="0.85546875" customWidth="1"/>
    <col min="9733" max="9733" width="15.42578125" customWidth="1"/>
    <col min="9734" max="9734" width="0.85546875" customWidth="1"/>
    <col min="9735" max="9735" width="30" customWidth="1"/>
    <col min="9736" max="9736" width="0.85546875" customWidth="1"/>
    <col min="9737" max="9737" width="17.140625" customWidth="1"/>
    <col min="9985" max="9985" width="13.85546875" customWidth="1"/>
    <col min="9986" max="9986" width="0.85546875" customWidth="1"/>
    <col min="9987" max="9987" width="28.140625" customWidth="1"/>
    <col min="9988" max="9988" width="0.85546875" customWidth="1"/>
    <col min="9989" max="9989" width="15.42578125" customWidth="1"/>
    <col min="9990" max="9990" width="0.85546875" customWidth="1"/>
    <col min="9991" max="9991" width="30" customWidth="1"/>
    <col min="9992" max="9992" width="0.85546875" customWidth="1"/>
    <col min="9993" max="9993" width="17.140625" customWidth="1"/>
    <col min="10241" max="10241" width="13.85546875" customWidth="1"/>
    <col min="10242" max="10242" width="0.85546875" customWidth="1"/>
    <col min="10243" max="10243" width="28.140625" customWidth="1"/>
    <col min="10244" max="10244" width="0.85546875" customWidth="1"/>
    <col min="10245" max="10245" width="15.42578125" customWidth="1"/>
    <col min="10246" max="10246" width="0.85546875" customWidth="1"/>
    <col min="10247" max="10247" width="30" customWidth="1"/>
    <col min="10248" max="10248" width="0.85546875" customWidth="1"/>
    <col min="10249" max="10249" width="17.140625" customWidth="1"/>
    <col min="10497" max="10497" width="13.85546875" customWidth="1"/>
    <col min="10498" max="10498" width="0.85546875" customWidth="1"/>
    <col min="10499" max="10499" width="28.140625" customWidth="1"/>
    <col min="10500" max="10500" width="0.85546875" customWidth="1"/>
    <col min="10501" max="10501" width="15.42578125" customWidth="1"/>
    <col min="10502" max="10502" width="0.85546875" customWidth="1"/>
    <col min="10503" max="10503" width="30" customWidth="1"/>
    <col min="10504" max="10504" width="0.85546875" customWidth="1"/>
    <col min="10505" max="10505" width="17.140625" customWidth="1"/>
    <col min="10753" max="10753" width="13.85546875" customWidth="1"/>
    <col min="10754" max="10754" width="0.85546875" customWidth="1"/>
    <col min="10755" max="10755" width="28.140625" customWidth="1"/>
    <col min="10756" max="10756" width="0.85546875" customWidth="1"/>
    <col min="10757" max="10757" width="15.42578125" customWidth="1"/>
    <col min="10758" max="10758" width="0.85546875" customWidth="1"/>
    <col min="10759" max="10759" width="30" customWidth="1"/>
    <col min="10760" max="10760" width="0.85546875" customWidth="1"/>
    <col min="10761" max="10761" width="17.140625" customWidth="1"/>
    <col min="11009" max="11009" width="13.85546875" customWidth="1"/>
    <col min="11010" max="11010" width="0.85546875" customWidth="1"/>
    <col min="11011" max="11011" width="28.140625" customWidth="1"/>
    <col min="11012" max="11012" width="0.85546875" customWidth="1"/>
    <col min="11013" max="11013" width="15.42578125" customWidth="1"/>
    <col min="11014" max="11014" width="0.85546875" customWidth="1"/>
    <col min="11015" max="11015" width="30" customWidth="1"/>
    <col min="11016" max="11016" width="0.85546875" customWidth="1"/>
    <col min="11017" max="11017" width="17.140625" customWidth="1"/>
    <col min="11265" max="11265" width="13.85546875" customWidth="1"/>
    <col min="11266" max="11266" width="0.85546875" customWidth="1"/>
    <col min="11267" max="11267" width="28.140625" customWidth="1"/>
    <col min="11268" max="11268" width="0.85546875" customWidth="1"/>
    <col min="11269" max="11269" width="15.42578125" customWidth="1"/>
    <col min="11270" max="11270" width="0.85546875" customWidth="1"/>
    <col min="11271" max="11271" width="30" customWidth="1"/>
    <col min="11272" max="11272" width="0.85546875" customWidth="1"/>
    <col min="11273" max="11273" width="17.140625" customWidth="1"/>
    <col min="11521" max="11521" width="13.85546875" customWidth="1"/>
    <col min="11522" max="11522" width="0.85546875" customWidth="1"/>
    <col min="11523" max="11523" width="28.140625" customWidth="1"/>
    <col min="11524" max="11524" width="0.85546875" customWidth="1"/>
    <col min="11525" max="11525" width="15.42578125" customWidth="1"/>
    <col min="11526" max="11526" width="0.85546875" customWidth="1"/>
    <col min="11527" max="11527" width="30" customWidth="1"/>
    <col min="11528" max="11528" width="0.85546875" customWidth="1"/>
    <col min="11529" max="11529" width="17.140625" customWidth="1"/>
    <col min="11777" max="11777" width="13.85546875" customWidth="1"/>
    <col min="11778" max="11778" width="0.85546875" customWidth="1"/>
    <col min="11779" max="11779" width="28.140625" customWidth="1"/>
    <col min="11780" max="11780" width="0.85546875" customWidth="1"/>
    <col min="11781" max="11781" width="15.42578125" customWidth="1"/>
    <col min="11782" max="11782" width="0.85546875" customWidth="1"/>
    <col min="11783" max="11783" width="30" customWidth="1"/>
    <col min="11784" max="11784" width="0.85546875" customWidth="1"/>
    <col min="11785" max="11785" width="17.140625" customWidth="1"/>
    <col min="12033" max="12033" width="13.85546875" customWidth="1"/>
    <col min="12034" max="12034" width="0.85546875" customWidth="1"/>
    <col min="12035" max="12035" width="28.140625" customWidth="1"/>
    <col min="12036" max="12036" width="0.85546875" customWidth="1"/>
    <col min="12037" max="12037" width="15.42578125" customWidth="1"/>
    <col min="12038" max="12038" width="0.85546875" customWidth="1"/>
    <col min="12039" max="12039" width="30" customWidth="1"/>
    <col min="12040" max="12040" width="0.85546875" customWidth="1"/>
    <col min="12041" max="12041" width="17.140625" customWidth="1"/>
    <col min="12289" max="12289" width="13.85546875" customWidth="1"/>
    <col min="12290" max="12290" width="0.85546875" customWidth="1"/>
    <col min="12291" max="12291" width="28.140625" customWidth="1"/>
    <col min="12292" max="12292" width="0.85546875" customWidth="1"/>
    <col min="12293" max="12293" width="15.42578125" customWidth="1"/>
    <col min="12294" max="12294" width="0.85546875" customWidth="1"/>
    <col min="12295" max="12295" width="30" customWidth="1"/>
    <col min="12296" max="12296" width="0.85546875" customWidth="1"/>
    <col min="12297" max="12297" width="17.140625" customWidth="1"/>
    <col min="12545" max="12545" width="13.85546875" customWidth="1"/>
    <col min="12546" max="12546" width="0.85546875" customWidth="1"/>
    <col min="12547" max="12547" width="28.140625" customWidth="1"/>
    <col min="12548" max="12548" width="0.85546875" customWidth="1"/>
    <col min="12549" max="12549" width="15.42578125" customWidth="1"/>
    <col min="12550" max="12550" width="0.85546875" customWidth="1"/>
    <col min="12551" max="12551" width="30" customWidth="1"/>
    <col min="12552" max="12552" width="0.85546875" customWidth="1"/>
    <col min="12553" max="12553" width="17.140625" customWidth="1"/>
    <col min="12801" max="12801" width="13.85546875" customWidth="1"/>
    <col min="12802" max="12802" width="0.85546875" customWidth="1"/>
    <col min="12803" max="12803" width="28.140625" customWidth="1"/>
    <col min="12804" max="12804" width="0.85546875" customWidth="1"/>
    <col min="12805" max="12805" width="15.42578125" customWidth="1"/>
    <col min="12806" max="12806" width="0.85546875" customWidth="1"/>
    <col min="12807" max="12807" width="30" customWidth="1"/>
    <col min="12808" max="12808" width="0.85546875" customWidth="1"/>
    <col min="12809" max="12809" width="17.140625" customWidth="1"/>
    <col min="13057" max="13057" width="13.85546875" customWidth="1"/>
    <col min="13058" max="13058" width="0.85546875" customWidth="1"/>
    <col min="13059" max="13059" width="28.140625" customWidth="1"/>
    <col min="13060" max="13060" width="0.85546875" customWidth="1"/>
    <col min="13061" max="13061" width="15.42578125" customWidth="1"/>
    <col min="13062" max="13062" width="0.85546875" customWidth="1"/>
    <col min="13063" max="13063" width="30" customWidth="1"/>
    <col min="13064" max="13064" width="0.85546875" customWidth="1"/>
    <col min="13065" max="13065" width="17.140625" customWidth="1"/>
    <col min="13313" max="13313" width="13.85546875" customWidth="1"/>
    <col min="13314" max="13314" width="0.85546875" customWidth="1"/>
    <col min="13315" max="13315" width="28.140625" customWidth="1"/>
    <col min="13316" max="13316" width="0.85546875" customWidth="1"/>
    <col min="13317" max="13317" width="15.42578125" customWidth="1"/>
    <col min="13318" max="13318" width="0.85546875" customWidth="1"/>
    <col min="13319" max="13319" width="30" customWidth="1"/>
    <col min="13320" max="13320" width="0.85546875" customWidth="1"/>
    <col min="13321" max="13321" width="17.140625" customWidth="1"/>
    <col min="13569" max="13569" width="13.85546875" customWidth="1"/>
    <col min="13570" max="13570" width="0.85546875" customWidth="1"/>
    <col min="13571" max="13571" width="28.140625" customWidth="1"/>
    <col min="13572" max="13572" width="0.85546875" customWidth="1"/>
    <col min="13573" max="13573" width="15.42578125" customWidth="1"/>
    <col min="13574" max="13574" width="0.85546875" customWidth="1"/>
    <col min="13575" max="13575" width="30" customWidth="1"/>
    <col min="13576" max="13576" width="0.85546875" customWidth="1"/>
    <col min="13577" max="13577" width="17.140625" customWidth="1"/>
    <col min="13825" max="13825" width="13.85546875" customWidth="1"/>
    <col min="13826" max="13826" width="0.85546875" customWidth="1"/>
    <col min="13827" max="13827" width="28.140625" customWidth="1"/>
    <col min="13828" max="13828" width="0.85546875" customWidth="1"/>
    <col min="13829" max="13829" width="15.42578125" customWidth="1"/>
    <col min="13830" max="13830" width="0.85546875" customWidth="1"/>
    <col min="13831" max="13831" width="30" customWidth="1"/>
    <col min="13832" max="13832" width="0.85546875" customWidth="1"/>
    <col min="13833" max="13833" width="17.140625" customWidth="1"/>
    <col min="14081" max="14081" width="13.85546875" customWidth="1"/>
    <col min="14082" max="14082" width="0.85546875" customWidth="1"/>
    <col min="14083" max="14083" width="28.140625" customWidth="1"/>
    <col min="14084" max="14084" width="0.85546875" customWidth="1"/>
    <col min="14085" max="14085" width="15.42578125" customWidth="1"/>
    <col min="14086" max="14086" width="0.85546875" customWidth="1"/>
    <col min="14087" max="14087" width="30" customWidth="1"/>
    <col min="14088" max="14088" width="0.85546875" customWidth="1"/>
    <col min="14089" max="14089" width="17.140625" customWidth="1"/>
    <col min="14337" max="14337" width="13.85546875" customWidth="1"/>
    <col min="14338" max="14338" width="0.85546875" customWidth="1"/>
    <col min="14339" max="14339" width="28.140625" customWidth="1"/>
    <col min="14340" max="14340" width="0.85546875" customWidth="1"/>
    <col min="14341" max="14341" width="15.42578125" customWidth="1"/>
    <col min="14342" max="14342" width="0.85546875" customWidth="1"/>
    <col min="14343" max="14343" width="30" customWidth="1"/>
    <col min="14344" max="14344" width="0.85546875" customWidth="1"/>
    <col min="14345" max="14345" width="17.140625" customWidth="1"/>
    <col min="14593" max="14593" width="13.85546875" customWidth="1"/>
    <col min="14594" max="14594" width="0.85546875" customWidth="1"/>
    <col min="14595" max="14595" width="28.140625" customWidth="1"/>
    <col min="14596" max="14596" width="0.85546875" customWidth="1"/>
    <col min="14597" max="14597" width="15.42578125" customWidth="1"/>
    <col min="14598" max="14598" width="0.85546875" customWidth="1"/>
    <col min="14599" max="14599" width="30" customWidth="1"/>
    <col min="14600" max="14600" width="0.85546875" customWidth="1"/>
    <col min="14601" max="14601" width="17.140625" customWidth="1"/>
    <col min="14849" max="14849" width="13.85546875" customWidth="1"/>
    <col min="14850" max="14850" width="0.85546875" customWidth="1"/>
    <col min="14851" max="14851" width="28.140625" customWidth="1"/>
    <col min="14852" max="14852" width="0.85546875" customWidth="1"/>
    <col min="14853" max="14853" width="15.42578125" customWidth="1"/>
    <col min="14854" max="14854" width="0.85546875" customWidth="1"/>
    <col min="14855" max="14855" width="30" customWidth="1"/>
    <col min="14856" max="14856" width="0.85546875" customWidth="1"/>
    <col min="14857" max="14857" width="17.140625" customWidth="1"/>
    <col min="15105" max="15105" width="13.85546875" customWidth="1"/>
    <col min="15106" max="15106" width="0.85546875" customWidth="1"/>
    <col min="15107" max="15107" width="28.140625" customWidth="1"/>
    <col min="15108" max="15108" width="0.85546875" customWidth="1"/>
    <col min="15109" max="15109" width="15.42578125" customWidth="1"/>
    <col min="15110" max="15110" width="0.85546875" customWidth="1"/>
    <col min="15111" max="15111" width="30" customWidth="1"/>
    <col min="15112" max="15112" width="0.85546875" customWidth="1"/>
    <col min="15113" max="15113" width="17.140625" customWidth="1"/>
    <col min="15361" max="15361" width="13.85546875" customWidth="1"/>
    <col min="15362" max="15362" width="0.85546875" customWidth="1"/>
    <col min="15363" max="15363" width="28.140625" customWidth="1"/>
    <col min="15364" max="15364" width="0.85546875" customWidth="1"/>
    <col min="15365" max="15365" width="15.42578125" customWidth="1"/>
    <col min="15366" max="15366" width="0.85546875" customWidth="1"/>
    <col min="15367" max="15367" width="30" customWidth="1"/>
    <col min="15368" max="15368" width="0.85546875" customWidth="1"/>
    <col min="15369" max="15369" width="17.140625" customWidth="1"/>
    <col min="15617" max="15617" width="13.85546875" customWidth="1"/>
    <col min="15618" max="15618" width="0.85546875" customWidth="1"/>
    <col min="15619" max="15619" width="28.140625" customWidth="1"/>
    <col min="15620" max="15620" width="0.85546875" customWidth="1"/>
    <col min="15621" max="15621" width="15.42578125" customWidth="1"/>
    <col min="15622" max="15622" width="0.85546875" customWidth="1"/>
    <col min="15623" max="15623" width="30" customWidth="1"/>
    <col min="15624" max="15624" width="0.85546875" customWidth="1"/>
    <col min="15625" max="15625" width="17.140625" customWidth="1"/>
    <col min="15873" max="15873" width="13.85546875" customWidth="1"/>
    <col min="15874" max="15874" width="0.85546875" customWidth="1"/>
    <col min="15875" max="15875" width="28.140625" customWidth="1"/>
    <col min="15876" max="15876" width="0.85546875" customWidth="1"/>
    <col min="15877" max="15877" width="15.42578125" customWidth="1"/>
    <col min="15878" max="15878" width="0.85546875" customWidth="1"/>
    <col min="15879" max="15879" width="30" customWidth="1"/>
    <col min="15880" max="15880" width="0.85546875" customWidth="1"/>
    <col min="15881" max="15881" width="17.140625" customWidth="1"/>
    <col min="16129" max="16129" width="13.85546875" customWidth="1"/>
    <col min="16130" max="16130" width="0.85546875" customWidth="1"/>
    <col min="16131" max="16131" width="28.140625" customWidth="1"/>
    <col min="16132" max="16132" width="0.85546875" customWidth="1"/>
    <col min="16133" max="16133" width="15.42578125" customWidth="1"/>
    <col min="16134" max="16134" width="0.85546875" customWidth="1"/>
    <col min="16135" max="16135" width="30" customWidth="1"/>
    <col min="16136" max="16136" width="0.85546875" customWidth="1"/>
    <col min="16137" max="16137" width="17.140625" customWidth="1"/>
  </cols>
  <sheetData>
    <row r="1" spans="1:15" ht="23.25" x14ac:dyDescent="0.35">
      <c r="A1" s="481" t="s">
        <v>127</v>
      </c>
      <c r="B1" s="469"/>
      <c r="C1" s="469"/>
      <c r="D1" s="469"/>
      <c r="E1" s="469"/>
      <c r="F1" s="469"/>
      <c r="G1" s="469"/>
      <c r="H1" s="469"/>
      <c r="I1" s="469"/>
      <c r="J1" s="469"/>
      <c r="K1" s="469"/>
      <c r="L1" s="470"/>
    </row>
    <row r="2" spans="1:15" ht="8.1" customHeight="1" x14ac:dyDescent="0.25">
      <c r="A2" s="347"/>
      <c r="B2" s="348"/>
      <c r="C2" s="348"/>
      <c r="D2" s="348"/>
      <c r="E2" s="349"/>
      <c r="F2" s="348"/>
      <c r="G2" s="350"/>
      <c r="H2" s="350"/>
      <c r="I2" s="258"/>
      <c r="J2" s="343"/>
      <c r="K2" s="426"/>
      <c r="L2" s="444"/>
    </row>
    <row r="3" spans="1:15" ht="31.5" x14ac:dyDescent="0.25">
      <c r="A3" s="166" t="s">
        <v>72</v>
      </c>
      <c r="B3" s="127"/>
      <c r="C3" s="132" t="s">
        <v>74</v>
      </c>
      <c r="D3" s="131"/>
      <c r="E3" s="130" t="s">
        <v>73</v>
      </c>
      <c r="F3" s="129"/>
      <c r="G3" s="128"/>
      <c r="H3" s="131"/>
      <c r="I3" s="335" t="s">
        <v>72</v>
      </c>
      <c r="J3" s="479" t="s">
        <v>245</v>
      </c>
      <c r="K3" s="477" t="s">
        <v>641</v>
      </c>
      <c r="L3" s="471" t="s">
        <v>562</v>
      </c>
    </row>
    <row r="4" spans="1:15" x14ac:dyDescent="0.25">
      <c r="A4" s="167">
        <v>45382</v>
      </c>
      <c r="B4" s="121"/>
      <c r="C4" s="125"/>
      <c r="D4" s="125"/>
      <c r="E4" s="124">
        <v>45747</v>
      </c>
      <c r="F4" s="123"/>
      <c r="G4" s="122"/>
      <c r="H4" s="125"/>
      <c r="I4" s="336">
        <f>SUM('Bank Recon'!B8)</f>
        <v>45747</v>
      </c>
      <c r="J4" s="480"/>
      <c r="K4" s="477"/>
      <c r="L4" s="471"/>
    </row>
    <row r="5" spans="1:15" x14ac:dyDescent="0.25">
      <c r="A5" s="168" t="s">
        <v>67</v>
      </c>
      <c r="B5" s="118"/>
      <c r="C5" s="115" t="s">
        <v>71</v>
      </c>
      <c r="D5" s="120"/>
      <c r="E5" s="114" t="s">
        <v>67</v>
      </c>
      <c r="F5" s="119"/>
      <c r="G5" s="112" t="s">
        <v>68</v>
      </c>
      <c r="H5" s="120"/>
      <c r="I5" s="337" t="s">
        <v>67</v>
      </c>
      <c r="J5" s="480"/>
      <c r="K5" s="477"/>
      <c r="L5" s="444"/>
    </row>
    <row r="6" spans="1:15" s="361" customFormat="1" ht="31.5" x14ac:dyDescent="0.25">
      <c r="A6" s="433"/>
      <c r="B6" s="434"/>
      <c r="C6" s="360" t="s">
        <v>128</v>
      </c>
      <c r="D6" s="360"/>
      <c r="E6" s="435">
        <v>5700</v>
      </c>
      <c r="F6" s="436"/>
      <c r="G6" s="417" t="s">
        <v>605</v>
      </c>
      <c r="H6" s="360"/>
      <c r="I6" s="437" t="e">
        <f>SUM(Cashbook!#REF!)</f>
        <v>#REF!</v>
      </c>
      <c r="J6" s="351" t="e">
        <f>I6/E6</f>
        <v>#REF!</v>
      </c>
      <c r="K6" s="446">
        <v>2164</v>
      </c>
      <c r="L6" s="447">
        <f>(($K6/$E6)*100)-100</f>
        <v>-62.035087719298247</v>
      </c>
      <c r="M6" s="466">
        <v>2140</v>
      </c>
      <c r="N6" s="466">
        <v>-62</v>
      </c>
    </row>
    <row r="7" spans="1:15" x14ac:dyDescent="0.25">
      <c r="A7" s="171"/>
      <c r="B7" s="84"/>
      <c r="C7" s="87" t="s">
        <v>129</v>
      </c>
      <c r="D7" s="87"/>
      <c r="E7" s="89">
        <v>3050</v>
      </c>
      <c r="F7" s="85"/>
      <c r="G7" s="91" t="s">
        <v>577</v>
      </c>
      <c r="H7" s="87"/>
      <c r="I7" s="303" t="e">
        <f>SUM(Cashbook!#REF!)</f>
        <v>#REF!</v>
      </c>
      <c r="J7" s="302" t="e">
        <f t="shared" ref="J7:J10" si="0">I7/E7</f>
        <v>#REF!</v>
      </c>
      <c r="K7" s="446">
        <v>6555.5</v>
      </c>
      <c r="L7" s="447">
        <f>(($K7/$E7)*100)-100</f>
        <v>114.93442622950818</v>
      </c>
      <c r="M7" s="467">
        <v>5428.5</v>
      </c>
      <c r="N7" s="467">
        <v>78</v>
      </c>
    </row>
    <row r="8" spans="1:15" x14ac:dyDescent="0.25">
      <c r="A8" s="171"/>
      <c r="B8" s="84"/>
      <c r="C8" s="87" t="s">
        <v>130</v>
      </c>
      <c r="D8" s="87"/>
      <c r="E8" s="89">
        <v>150</v>
      </c>
      <c r="F8" s="85"/>
      <c r="G8" s="91" t="s">
        <v>578</v>
      </c>
      <c r="H8" s="87"/>
      <c r="I8" s="303" t="e">
        <f>SUM(Cashbook!#REF!)</f>
        <v>#REF!</v>
      </c>
      <c r="J8" s="302" t="e">
        <f t="shared" si="0"/>
        <v>#REF!</v>
      </c>
      <c r="K8" s="446">
        <v>490</v>
      </c>
      <c r="L8" s="448">
        <f t="shared" ref="L8:L18" si="1">(($K8/$E8)*100)-100</f>
        <v>226.66666666666669</v>
      </c>
    </row>
    <row r="9" spans="1:15" x14ac:dyDescent="0.25">
      <c r="A9" s="171"/>
      <c r="B9" s="84"/>
      <c r="C9" s="87" t="s">
        <v>131</v>
      </c>
      <c r="D9" s="87"/>
      <c r="E9" s="89">
        <v>3875</v>
      </c>
      <c r="F9" s="85"/>
      <c r="G9" s="289"/>
      <c r="H9" s="87"/>
      <c r="I9" s="303" t="e">
        <f>SUM(Cashbook!#REF!)</f>
        <v>#REF!</v>
      </c>
      <c r="J9" s="302" t="e">
        <f t="shared" si="0"/>
        <v>#REF!</v>
      </c>
      <c r="K9" s="446">
        <v>3870.12</v>
      </c>
      <c r="L9" s="448">
        <f t="shared" si="1"/>
        <v>-0.12593548387097542</v>
      </c>
      <c r="M9" s="467">
        <v>3420.12</v>
      </c>
      <c r="N9" s="467">
        <v>-10.45</v>
      </c>
    </row>
    <row r="10" spans="1:15" x14ac:dyDescent="0.25">
      <c r="A10" s="174">
        <f>SUM(A6:A9)</f>
        <v>0</v>
      </c>
      <c r="B10" s="79"/>
      <c r="C10" s="82" t="s">
        <v>70</v>
      </c>
      <c r="D10" s="82"/>
      <c r="E10" s="116">
        <f>SUM(E6:E9)</f>
        <v>12775</v>
      </c>
      <c r="F10" s="94"/>
      <c r="G10" s="93"/>
      <c r="H10" s="82"/>
      <c r="I10" s="338" t="e">
        <f>SUM(I6:I9)</f>
        <v>#REF!</v>
      </c>
      <c r="J10" s="302" t="e">
        <f t="shared" si="0"/>
        <v>#REF!</v>
      </c>
      <c r="K10" s="446">
        <v>11528.62</v>
      </c>
      <c r="L10" s="448">
        <f t="shared" si="1"/>
        <v>-9.75639921722113</v>
      </c>
    </row>
    <row r="11" spans="1:15" ht="8.1" customHeight="1" x14ac:dyDescent="0.25">
      <c r="A11" s="171"/>
      <c r="B11" s="84"/>
      <c r="C11" s="87"/>
      <c r="D11" s="87"/>
      <c r="E11" s="89"/>
      <c r="F11" s="85"/>
      <c r="G11" s="91"/>
      <c r="H11" s="87"/>
      <c r="I11" s="303"/>
      <c r="J11" s="343"/>
      <c r="K11" s="446"/>
      <c r="L11" s="448"/>
    </row>
    <row r="12" spans="1:15" x14ac:dyDescent="0.25">
      <c r="A12" s="168" t="s">
        <v>67</v>
      </c>
      <c r="B12" s="111"/>
      <c r="C12" s="115" t="s">
        <v>69</v>
      </c>
      <c r="D12" s="115"/>
      <c r="E12" s="114" t="s">
        <v>67</v>
      </c>
      <c r="F12" s="113"/>
      <c r="G12" s="112" t="s">
        <v>68</v>
      </c>
      <c r="H12" s="115"/>
      <c r="I12" s="337" t="s">
        <v>67</v>
      </c>
      <c r="J12" s="343"/>
      <c r="K12" s="446"/>
      <c r="L12" s="448"/>
    </row>
    <row r="13" spans="1:15" ht="15.75" customHeight="1" x14ac:dyDescent="0.25">
      <c r="A13" s="175"/>
      <c r="B13" s="105"/>
      <c r="C13" s="290" t="s">
        <v>132</v>
      </c>
      <c r="D13" s="108"/>
      <c r="E13" s="291">
        <v>1600</v>
      </c>
      <c r="F13" s="107"/>
      <c r="G13" s="106"/>
      <c r="H13" s="108"/>
      <c r="I13" s="346" t="e">
        <f>SUM(Cashbook!#REF!)</f>
        <v>#REF!</v>
      </c>
      <c r="J13" s="352" t="e">
        <f>I13/E13</f>
        <v>#REF!</v>
      </c>
      <c r="K13" s="446">
        <v>1575.35</v>
      </c>
      <c r="L13" s="448">
        <f t="shared" si="1"/>
        <v>-1.5406250000000057</v>
      </c>
    </row>
    <row r="14" spans="1:15" ht="15.75" customHeight="1" x14ac:dyDescent="0.25">
      <c r="A14" s="176"/>
      <c r="B14" s="105"/>
      <c r="C14" s="290" t="s">
        <v>133</v>
      </c>
      <c r="D14" s="108"/>
      <c r="E14" s="292">
        <v>10000</v>
      </c>
      <c r="F14" s="107"/>
      <c r="G14" s="106" t="s">
        <v>579</v>
      </c>
      <c r="H14" s="108"/>
      <c r="I14" s="339" t="e">
        <f>SUM(Cashbook!#REF!)</f>
        <v>#REF!</v>
      </c>
      <c r="J14" s="194" t="e">
        <f t="shared" ref="J14:J18" si="2">I14/E14</f>
        <v>#REF!</v>
      </c>
      <c r="K14" s="446">
        <v>8952.08</v>
      </c>
      <c r="L14" s="448">
        <f t="shared" si="1"/>
        <v>-10.479200000000006</v>
      </c>
    </row>
    <row r="15" spans="1:15" ht="15.75" customHeight="1" x14ac:dyDescent="0.25">
      <c r="A15" s="176"/>
      <c r="B15" s="101"/>
      <c r="C15" s="290" t="s">
        <v>134</v>
      </c>
      <c r="D15" s="104"/>
      <c r="E15" s="292">
        <v>200</v>
      </c>
      <c r="F15" s="102"/>
      <c r="G15" s="91"/>
      <c r="H15" s="104"/>
      <c r="I15" s="339" t="e">
        <f>SUM(Cashbook!#REF!)</f>
        <v>#REF!</v>
      </c>
      <c r="J15" s="194" t="e">
        <f t="shared" si="2"/>
        <v>#REF!</v>
      </c>
      <c r="K15" s="446">
        <v>69.45</v>
      </c>
      <c r="L15" s="448">
        <f t="shared" si="1"/>
        <v>-65.275000000000006</v>
      </c>
    </row>
    <row r="16" spans="1:15" s="361" customFormat="1" ht="192" customHeight="1" x14ac:dyDescent="0.25">
      <c r="A16" s="176"/>
      <c r="B16" s="101"/>
      <c r="C16" s="358" t="s">
        <v>135</v>
      </c>
      <c r="D16" s="104"/>
      <c r="E16" s="438">
        <v>300</v>
      </c>
      <c r="F16" s="102"/>
      <c r="G16" s="402" t="s">
        <v>580</v>
      </c>
      <c r="H16" s="104"/>
      <c r="I16" s="339" t="e">
        <f>SUM(Cashbook!#REF!)</f>
        <v>#REF!</v>
      </c>
      <c r="J16" s="194" t="e">
        <f t="shared" si="2"/>
        <v>#REF!</v>
      </c>
      <c r="K16" s="446">
        <v>471.56</v>
      </c>
      <c r="L16" s="448">
        <f t="shared" si="1"/>
        <v>57.186666666666667</v>
      </c>
      <c r="M16" s="468">
        <v>994.87</v>
      </c>
      <c r="N16" s="466">
        <v>471.56</v>
      </c>
      <c r="O16" s="466">
        <v>57.19</v>
      </c>
    </row>
    <row r="17" spans="1:15" x14ac:dyDescent="0.25">
      <c r="A17" s="177"/>
      <c r="B17" s="84"/>
      <c r="C17" s="293" t="s">
        <v>136</v>
      </c>
      <c r="D17" s="87"/>
      <c r="E17" s="294">
        <v>750</v>
      </c>
      <c r="F17" s="98"/>
      <c r="G17" s="91"/>
      <c r="H17" s="87"/>
      <c r="I17" s="340" t="e">
        <f>SUM(Cashbook!#REF!)</f>
        <v>#REF!</v>
      </c>
      <c r="J17" s="194" t="e">
        <f t="shared" si="2"/>
        <v>#REF!</v>
      </c>
      <c r="K17" s="427">
        <v>832.24</v>
      </c>
      <c r="L17" s="448">
        <f t="shared" si="1"/>
        <v>10.965333333333334</v>
      </c>
      <c r="O17" t="s">
        <v>613</v>
      </c>
    </row>
    <row r="18" spans="1:15" x14ac:dyDescent="0.25">
      <c r="A18" s="179">
        <f>SUM(A13:A17)</f>
        <v>0</v>
      </c>
      <c r="B18" s="79"/>
      <c r="C18" s="82" t="s">
        <v>62</v>
      </c>
      <c r="D18" s="82"/>
      <c r="E18" s="95">
        <f>SUM(E13:E17)</f>
        <v>12850</v>
      </c>
      <c r="F18" s="94"/>
      <c r="G18" s="93"/>
      <c r="H18" s="82"/>
      <c r="I18" s="388" t="e">
        <f>SUM(I13:I17)</f>
        <v>#REF!</v>
      </c>
      <c r="J18" s="194" t="e">
        <f t="shared" si="2"/>
        <v>#REF!</v>
      </c>
      <c r="K18" s="427">
        <f>SUM(K13:K17)</f>
        <v>11900.68</v>
      </c>
      <c r="L18" s="448">
        <f t="shared" si="1"/>
        <v>-7.3877042801556314</v>
      </c>
    </row>
    <row r="19" spans="1:15" x14ac:dyDescent="0.25">
      <c r="A19" s="180"/>
      <c r="B19" s="84"/>
      <c r="C19" s="92"/>
      <c r="D19" s="87"/>
      <c r="E19" s="89"/>
      <c r="F19" s="85"/>
      <c r="G19" s="91"/>
      <c r="H19" s="87"/>
      <c r="I19" s="341"/>
      <c r="J19" s="343"/>
      <c r="K19" s="427"/>
      <c r="L19" s="448"/>
    </row>
    <row r="20" spans="1:15" x14ac:dyDescent="0.25">
      <c r="A20" s="171">
        <f>A10</f>
        <v>0</v>
      </c>
      <c r="B20" s="84"/>
      <c r="C20" s="87" t="s">
        <v>61</v>
      </c>
      <c r="D20" s="87"/>
      <c r="E20" s="89">
        <f>E10</f>
        <v>12775</v>
      </c>
      <c r="F20" s="85"/>
      <c r="G20" s="80" t="s">
        <v>60</v>
      </c>
      <c r="H20" s="87"/>
      <c r="I20" s="303" t="e">
        <f>I10</f>
        <v>#REF!</v>
      </c>
      <c r="J20" s="343"/>
      <c r="K20" s="427"/>
      <c r="L20" s="448"/>
    </row>
    <row r="21" spans="1:15" x14ac:dyDescent="0.25">
      <c r="A21" s="181">
        <f>-A18</f>
        <v>0</v>
      </c>
      <c r="B21" s="84"/>
      <c r="C21" s="87" t="s">
        <v>59</v>
      </c>
      <c r="D21" s="87"/>
      <c r="E21" s="86">
        <f>-E18</f>
        <v>-12850</v>
      </c>
      <c r="F21" s="85"/>
      <c r="G21" s="80" t="s">
        <v>58</v>
      </c>
      <c r="H21" s="87"/>
      <c r="I21" s="342" t="e">
        <f>-I18</f>
        <v>#REF!</v>
      </c>
      <c r="J21" s="343"/>
      <c r="K21" s="427"/>
      <c r="L21" s="448"/>
    </row>
    <row r="22" spans="1:15" x14ac:dyDescent="0.25">
      <c r="A22" s="295">
        <f>SUM(A20:A21)</f>
        <v>0</v>
      </c>
      <c r="B22" s="161"/>
      <c r="C22" s="296" t="s">
        <v>57</v>
      </c>
      <c r="D22" s="296"/>
      <c r="E22" s="297">
        <f>SUM(E20:E21)</f>
        <v>-75</v>
      </c>
      <c r="F22" s="298"/>
      <c r="G22" s="299" t="s">
        <v>56</v>
      </c>
      <c r="H22" s="296"/>
      <c r="I22" s="344" t="e">
        <f>SUM(I20:I21)</f>
        <v>#REF!</v>
      </c>
      <c r="J22" s="345"/>
      <c r="K22" s="464"/>
      <c r="L22" s="460"/>
    </row>
    <row r="23" spans="1:15" ht="9" customHeight="1" x14ac:dyDescent="0.25">
      <c r="K23" s="300"/>
      <c r="L23" s="300"/>
    </row>
    <row r="24" spans="1:15" ht="15" x14ac:dyDescent="0.25">
      <c r="K24" s="300"/>
      <c r="L24" s="300"/>
    </row>
    <row r="25" spans="1:15" ht="15" x14ac:dyDescent="0.25">
      <c r="K25" s="300"/>
      <c r="L25" s="300"/>
    </row>
    <row r="26" spans="1:15" ht="15" x14ac:dyDescent="0.25">
      <c r="K26" s="300"/>
      <c r="L26" s="300"/>
    </row>
    <row r="27" spans="1:15" s="72" customFormat="1" ht="15" x14ac:dyDescent="0.25">
      <c r="A27"/>
      <c r="B27"/>
      <c r="C27"/>
      <c r="D27"/>
      <c r="E27"/>
      <c r="F27"/>
      <c r="G27"/>
      <c r="H27"/>
      <c r="I27"/>
      <c r="J27" s="301"/>
      <c r="K27" s="300"/>
      <c r="L27" s="300"/>
    </row>
    <row r="28" spans="1:15" ht="15" x14ac:dyDescent="0.25">
      <c r="K28" s="300"/>
      <c r="L28" s="300"/>
    </row>
    <row r="29" spans="1:15" ht="15" x14ac:dyDescent="0.25">
      <c r="K29" s="300"/>
      <c r="L29" s="300"/>
    </row>
    <row r="30" spans="1:15" ht="15" x14ac:dyDescent="0.25">
      <c r="K30" s="300"/>
      <c r="L30" s="300"/>
    </row>
    <row r="31" spans="1:15" ht="15" x14ac:dyDescent="0.25">
      <c r="K31" s="300"/>
      <c r="L31" s="300"/>
    </row>
    <row r="32" spans="1:15" ht="15" x14ac:dyDescent="0.25">
      <c r="K32" s="300"/>
      <c r="L32" s="300"/>
    </row>
    <row r="33" spans="11:12" ht="15" x14ac:dyDescent="0.25">
      <c r="K33" s="300"/>
      <c r="L33" s="300"/>
    </row>
    <row r="34" spans="11:12" ht="15" x14ac:dyDescent="0.25">
      <c r="K34" s="300"/>
      <c r="L34" s="300"/>
    </row>
    <row r="35" spans="11:12" ht="15" x14ac:dyDescent="0.25">
      <c r="K35" s="300"/>
      <c r="L35" s="300"/>
    </row>
    <row r="36" spans="11:12" ht="15" x14ac:dyDescent="0.25">
      <c r="K36" s="300"/>
      <c r="L36" s="300"/>
    </row>
    <row r="37" spans="11:12" ht="15" x14ac:dyDescent="0.25">
      <c r="K37" s="300"/>
      <c r="L37" s="300"/>
    </row>
    <row r="38" spans="11:12" ht="15" x14ac:dyDescent="0.25">
      <c r="K38" s="300"/>
      <c r="L38" s="300"/>
    </row>
    <row r="39" spans="11:12" ht="15" x14ac:dyDescent="0.25">
      <c r="K39" s="300"/>
      <c r="L39" s="300"/>
    </row>
    <row r="40" spans="11:12" ht="15" x14ac:dyDescent="0.25">
      <c r="K40" s="300"/>
      <c r="L40" s="300"/>
    </row>
    <row r="41" spans="11:12" ht="15" x14ac:dyDescent="0.25">
      <c r="K41" s="300"/>
      <c r="L41" s="300"/>
    </row>
    <row r="42" spans="11:12" x14ac:dyDescent="0.25">
      <c r="K42" s="427"/>
    </row>
    <row r="43" spans="11:12" x14ac:dyDescent="0.25">
      <c r="K43" s="427"/>
    </row>
    <row r="44" spans="11:12" x14ac:dyDescent="0.25">
      <c r="K44" s="427"/>
    </row>
    <row r="46" spans="11:12" x14ac:dyDescent="0.25">
      <c r="K46" s="426"/>
    </row>
    <row r="47" spans="11:12" x14ac:dyDescent="0.25">
      <c r="K47" s="426"/>
    </row>
    <row r="48" spans="11:12" x14ac:dyDescent="0.25">
      <c r="K48" s="478">
        <f>SUM(J48:J49)</f>
        <v>0</v>
      </c>
    </row>
    <row r="49" spans="11:12" x14ac:dyDescent="0.25">
      <c r="K49" s="478"/>
    </row>
    <row r="50" spans="11:12" x14ac:dyDescent="0.25">
      <c r="K50" s="426"/>
    </row>
    <row r="51" spans="11:12" x14ac:dyDescent="0.25">
      <c r="K51" s="429"/>
      <c r="L51" s="420"/>
    </row>
    <row r="52" spans="11:12" x14ac:dyDescent="0.25">
      <c r="K52" s="426"/>
    </row>
    <row r="53" spans="11:12" x14ac:dyDescent="0.25">
      <c r="K53" s="426"/>
    </row>
    <row r="54" spans="11:12" x14ac:dyDescent="0.25">
      <c r="K54" s="426"/>
    </row>
    <row r="55" spans="11:12" x14ac:dyDescent="0.25">
      <c r="K55" s="426"/>
    </row>
    <row r="56" spans="11:12" x14ac:dyDescent="0.25">
      <c r="K56" s="426"/>
    </row>
    <row r="57" spans="11:12" x14ac:dyDescent="0.25">
      <c r="K57" s="426"/>
    </row>
  </sheetData>
  <mergeCells count="5">
    <mergeCell ref="J3:J5"/>
    <mergeCell ref="K3:K5"/>
    <mergeCell ref="L3:L4"/>
    <mergeCell ref="K48:K49"/>
    <mergeCell ref="A1:L1"/>
  </mergeCells>
  <conditionalFormatting sqref="J6:J10">
    <cfRule type="cellIs" dxfId="50" priority="4" operator="between">
      <formula>0</formula>
      <formula>0.74</formula>
    </cfRule>
    <cfRule type="cellIs" dxfId="49" priority="5" operator="between">
      <formula>0.75</formula>
      <formula>0.99</formula>
    </cfRule>
    <cfRule type="cellIs" dxfId="48" priority="6" operator="greaterThan">
      <formula>1</formula>
    </cfRule>
  </conditionalFormatting>
  <conditionalFormatting sqref="J13:J18">
    <cfRule type="cellIs" dxfId="47" priority="1" operator="between">
      <formula>0</formula>
      <formula>0.74</formula>
    </cfRule>
    <cfRule type="cellIs" dxfId="46" priority="2" operator="between">
      <formula>0.75</formula>
      <formula>0.99</formula>
    </cfRule>
    <cfRule type="cellIs" dxfId="45" priority="3" operator="greaterThan">
      <formula>1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BD4B8-B935-4678-8FA0-E2CE9FEF96CD}">
  <sheetPr codeName="Sheet3"/>
  <dimension ref="A1:F27"/>
  <sheetViews>
    <sheetView workbookViewId="0">
      <selection activeCell="G31" sqref="G31"/>
    </sheetView>
  </sheetViews>
  <sheetFormatPr defaultRowHeight="15" x14ac:dyDescent="0.25"/>
  <cols>
    <col min="1" max="1" width="22.7109375" customWidth="1"/>
    <col min="2" max="2" width="14.28515625" bestFit="1" customWidth="1"/>
    <col min="3" max="4" width="20.140625" customWidth="1"/>
    <col min="5" max="5" width="36.85546875" customWidth="1"/>
    <col min="6" max="6" width="20.140625" customWidth="1"/>
  </cols>
  <sheetData>
    <row r="1" spans="1:6" x14ac:dyDescent="0.25">
      <c r="A1" s="258" t="s">
        <v>102</v>
      </c>
      <c r="B1" s="259">
        <f>SUM('Bank Recon'!C10)</f>
        <v>1000</v>
      </c>
      <c r="C1" s="258"/>
      <c r="D1" s="258"/>
      <c r="E1" s="258"/>
      <c r="F1" s="258"/>
    </row>
    <row r="2" spans="1:6" x14ac:dyDescent="0.25">
      <c r="A2" s="258" t="s">
        <v>123</v>
      </c>
      <c r="B2" s="259">
        <f>SUM('Bank Recon'!C11)</f>
        <v>14621.65</v>
      </c>
      <c r="C2" s="258"/>
      <c r="D2" s="258"/>
      <c r="E2" s="258"/>
      <c r="F2" s="258"/>
    </row>
    <row r="3" spans="1:6" ht="18.75" x14ac:dyDescent="0.3">
      <c r="A3" s="482" t="s">
        <v>141</v>
      </c>
      <c r="B3" s="482"/>
      <c r="C3" s="258"/>
      <c r="D3" s="258"/>
      <c r="E3" s="258"/>
      <c r="F3" s="258"/>
    </row>
    <row r="4" spans="1:6" x14ac:dyDescent="0.25">
      <c r="A4" s="258"/>
      <c r="B4" s="258"/>
      <c r="C4" s="258"/>
      <c r="D4" s="258"/>
      <c r="E4" s="258"/>
      <c r="F4" s="258"/>
    </row>
    <row r="5" spans="1:6" x14ac:dyDescent="0.25">
      <c r="A5" s="258"/>
      <c r="B5" s="258"/>
      <c r="C5" s="260" t="s">
        <v>103</v>
      </c>
      <c r="D5" s="260" t="s">
        <v>104</v>
      </c>
      <c r="E5" s="260" t="s">
        <v>105</v>
      </c>
      <c r="F5" s="260" t="s">
        <v>106</v>
      </c>
    </row>
    <row r="6" spans="1:6" x14ac:dyDescent="0.25">
      <c r="A6" s="486" t="s">
        <v>107</v>
      </c>
      <c r="B6" s="487"/>
      <c r="C6" s="487"/>
      <c r="D6" s="366"/>
      <c r="E6" s="366"/>
      <c r="F6" s="366"/>
    </row>
    <row r="7" spans="1:6" x14ac:dyDescent="0.25">
      <c r="A7" s="217" t="s">
        <v>108</v>
      </c>
      <c r="B7" s="218">
        <v>2400</v>
      </c>
      <c r="C7" s="219">
        <f>SUM(B7-D7)</f>
        <v>2400</v>
      </c>
      <c r="D7" s="219"/>
      <c r="E7" s="3"/>
      <c r="F7" s="3"/>
    </row>
    <row r="8" spans="1:6" x14ac:dyDescent="0.25">
      <c r="A8" s="217" t="s">
        <v>109</v>
      </c>
      <c r="B8" s="218">
        <v>500</v>
      </c>
      <c r="C8" s="219">
        <f>SUM(B8-D8)</f>
        <v>500</v>
      </c>
      <c r="D8" s="219"/>
      <c r="E8" s="3"/>
      <c r="F8" s="3"/>
    </row>
    <row r="9" spans="1:6" x14ac:dyDescent="0.25">
      <c r="A9" s="220" t="s">
        <v>110</v>
      </c>
      <c r="B9" s="221">
        <f t="shared" ref="B9" si="0">SUM(B7:B8)</f>
        <v>2900</v>
      </c>
      <c r="C9" s="219">
        <f>SUM(C7:C8)</f>
        <v>2900</v>
      </c>
      <c r="D9" s="219"/>
      <c r="E9" s="3"/>
      <c r="F9" s="3"/>
    </row>
    <row r="10" spans="1:6" x14ac:dyDescent="0.25">
      <c r="A10" s="488" t="s">
        <v>111</v>
      </c>
      <c r="B10" s="489"/>
      <c r="C10" s="489"/>
      <c r="D10" s="367"/>
      <c r="E10" s="367"/>
      <c r="F10" s="368"/>
    </row>
    <row r="11" spans="1:6" ht="150" x14ac:dyDescent="0.25">
      <c r="A11" s="439" t="s">
        <v>112</v>
      </c>
      <c r="B11" s="440">
        <v>1500</v>
      </c>
      <c r="C11" s="441">
        <f>SUM(B11-D11)</f>
        <v>114.25</v>
      </c>
      <c r="D11" s="441">
        <v>1385.75</v>
      </c>
      <c r="E11" s="353" t="s">
        <v>583</v>
      </c>
      <c r="F11" s="396" t="s">
        <v>588</v>
      </c>
    </row>
    <row r="12" spans="1:6" ht="30" x14ac:dyDescent="0.25">
      <c r="A12" s="439" t="s">
        <v>113</v>
      </c>
      <c r="B12" s="440">
        <v>600</v>
      </c>
      <c r="C12" s="441">
        <f>SUM(B12-D12)</f>
        <v>81.67999999999995</v>
      </c>
      <c r="D12" s="441">
        <v>518.32000000000005</v>
      </c>
      <c r="E12" s="396" t="s">
        <v>581</v>
      </c>
      <c r="F12" s="396" t="s">
        <v>582</v>
      </c>
    </row>
    <row r="13" spans="1:6" x14ac:dyDescent="0.25">
      <c r="A13" s="222" t="s">
        <v>110</v>
      </c>
      <c r="B13" s="223">
        <f t="shared" ref="B13" si="1">SUM(B11:B12)</f>
        <v>2100</v>
      </c>
      <c r="C13" s="219">
        <f>SUM(C11:C12)</f>
        <v>195.92999999999995</v>
      </c>
      <c r="D13" s="219"/>
      <c r="E13" s="3"/>
      <c r="F13" s="3"/>
    </row>
    <row r="14" spans="1:6" x14ac:dyDescent="0.25">
      <c r="A14" s="254" t="s">
        <v>116</v>
      </c>
      <c r="B14" s="362">
        <f>SUM(B13,B9)</f>
        <v>5000</v>
      </c>
      <c r="C14" s="363">
        <f>SUM(C13,C9)</f>
        <v>3095.93</v>
      </c>
      <c r="D14" s="255"/>
      <c r="E14" s="256"/>
      <c r="F14" s="257"/>
    </row>
    <row r="15" spans="1:6" x14ac:dyDescent="0.25">
      <c r="A15" s="484" t="s">
        <v>115</v>
      </c>
      <c r="B15" s="485"/>
      <c r="C15" s="485"/>
      <c r="D15" s="364"/>
      <c r="E15" s="364"/>
      <c r="F15" s="365"/>
    </row>
    <row r="16" spans="1:6" x14ac:dyDescent="0.25">
      <c r="A16" s="224" t="s">
        <v>142</v>
      </c>
      <c r="B16" s="225">
        <v>370</v>
      </c>
      <c r="C16" s="219">
        <f>SUM(B16-D16)</f>
        <v>370</v>
      </c>
      <c r="D16" s="219"/>
      <c r="E16" s="3"/>
      <c r="F16" s="3"/>
    </row>
    <row r="17" spans="1:6" ht="135" x14ac:dyDescent="0.25">
      <c r="A17" s="442" t="s">
        <v>143</v>
      </c>
      <c r="B17" s="443">
        <v>7135</v>
      </c>
      <c r="C17" s="441">
        <f t="shared" ref="C17:C20" si="2">SUM(B17-D17)</f>
        <v>4759.4400000000005</v>
      </c>
      <c r="D17" s="441">
        <v>2375.56</v>
      </c>
      <c r="E17" s="353" t="s">
        <v>587</v>
      </c>
      <c r="F17" s="353" t="s">
        <v>584</v>
      </c>
    </row>
    <row r="18" spans="1:6" ht="45" x14ac:dyDescent="0.25">
      <c r="A18" s="442" t="s">
        <v>63</v>
      </c>
      <c r="B18" s="443">
        <v>500</v>
      </c>
      <c r="C18" s="441">
        <f t="shared" si="2"/>
        <v>-500</v>
      </c>
      <c r="D18" s="441">
        <v>1000</v>
      </c>
      <c r="E18" s="396" t="s">
        <v>586</v>
      </c>
      <c r="F18" s="353" t="s">
        <v>585</v>
      </c>
    </row>
    <row r="19" spans="1:6" x14ac:dyDescent="0.25">
      <c r="A19" s="224" t="s">
        <v>144</v>
      </c>
      <c r="B19" s="225">
        <v>1500</v>
      </c>
      <c r="C19" s="219">
        <f t="shared" si="2"/>
        <v>1500</v>
      </c>
      <c r="D19" s="219"/>
      <c r="E19" s="3"/>
      <c r="F19" s="3"/>
    </row>
    <row r="20" spans="1:6" x14ac:dyDescent="0.25">
      <c r="A20" s="224" t="s">
        <v>124</v>
      </c>
      <c r="B20" s="225">
        <v>300</v>
      </c>
      <c r="C20" s="219">
        <f t="shared" si="2"/>
        <v>80</v>
      </c>
      <c r="D20" s="219">
        <v>220</v>
      </c>
      <c r="E20" s="3" t="s">
        <v>443</v>
      </c>
      <c r="F20" s="3" t="s">
        <v>435</v>
      </c>
    </row>
    <row r="21" spans="1:6" x14ac:dyDescent="0.25">
      <c r="A21" s="304" t="s">
        <v>110</v>
      </c>
      <c r="B21" s="305">
        <f>SUM(B16:B20)</f>
        <v>9805</v>
      </c>
      <c r="C21" s="305">
        <f>SUM(C16:C20)</f>
        <v>6209.4400000000005</v>
      </c>
      <c r="D21" s="288"/>
    </row>
    <row r="22" spans="1:6" x14ac:dyDescent="0.25">
      <c r="A22" s="226" t="s">
        <v>114</v>
      </c>
      <c r="B22" s="227">
        <f>SUM(B9,B13,B21)</f>
        <v>14805</v>
      </c>
      <c r="C22" s="227">
        <f>SUM(C9,C13,C21)</f>
        <v>9305.3700000000008</v>
      </c>
    </row>
    <row r="24" spans="1:6" x14ac:dyDescent="0.25">
      <c r="A24" s="483" t="s">
        <v>145</v>
      </c>
      <c r="B24" s="483"/>
      <c r="D24" t="s">
        <v>507</v>
      </c>
      <c r="E24" s="288">
        <f>SUM(B1-B14)</f>
        <v>-4000</v>
      </c>
    </row>
    <row r="25" spans="1:6" x14ac:dyDescent="0.25">
      <c r="A25" s="3" t="s">
        <v>146</v>
      </c>
      <c r="B25" s="306" t="e">
        <f>SUM('Hall 2024-25 Running'!I18)</f>
        <v>#REF!</v>
      </c>
      <c r="D25" t="s">
        <v>506</v>
      </c>
      <c r="E25" s="288">
        <f>SUM(B2-C22)</f>
        <v>5316.2799999999988</v>
      </c>
    </row>
    <row r="26" spans="1:6" x14ac:dyDescent="0.25">
      <c r="A26" s="3" t="s">
        <v>20</v>
      </c>
      <c r="B26" s="306" t="e">
        <f>SUM('Hall 2024-25 Running'!I10)</f>
        <v>#REF!</v>
      </c>
    </row>
    <row r="27" spans="1:6" x14ac:dyDescent="0.25">
      <c r="A27" s="3" t="s">
        <v>28</v>
      </c>
      <c r="B27" s="306" t="e">
        <f>B26-B25</f>
        <v>#REF!</v>
      </c>
    </row>
  </sheetData>
  <mergeCells count="5">
    <mergeCell ref="A3:B3"/>
    <mergeCell ref="A24:B24"/>
    <mergeCell ref="A15:C15"/>
    <mergeCell ref="A6:C6"/>
    <mergeCell ref="A10:C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69EB8-9CCA-4D03-B8EF-A9EA110EF6FF}">
  <sheetPr>
    <pageSetUpPr fitToPage="1"/>
  </sheetPr>
  <dimension ref="A1:XCM249"/>
  <sheetViews>
    <sheetView tabSelected="1" zoomScale="90" zoomScaleNormal="90" workbookViewId="0">
      <pane ySplit="3" topLeftCell="A4" activePane="bottomLeft" state="frozen"/>
      <selection activeCell="I202" sqref="I202"/>
      <selection pane="bottomLeft" activeCell="K13" sqref="K13"/>
    </sheetView>
  </sheetViews>
  <sheetFormatPr defaultColWidth="9.140625" defaultRowHeight="15" customHeight="1" x14ac:dyDescent="0.25"/>
  <cols>
    <col min="1" max="1" width="12.7109375" style="513" customWidth="1"/>
    <col min="2" max="2" width="20.140625" style="42" customWidth="1"/>
    <col min="3" max="3" width="33.140625" style="355" customWidth="1"/>
    <col min="4" max="4" width="27.42578125" style="355" customWidth="1"/>
    <col min="5" max="5" width="11.42578125" style="2" customWidth="1"/>
    <col min="6" max="6" width="11.42578125" style="370" customWidth="1"/>
    <col min="7" max="8" width="11.42578125" style="2" customWidth="1"/>
    <col min="9" max="16384" width="9.140625" style="1"/>
  </cols>
  <sheetData>
    <row r="1" spans="1:8" ht="15" customHeight="1" x14ac:dyDescent="0.25">
      <c r="A1" s="517" t="s">
        <v>10</v>
      </c>
      <c r="B1" s="386"/>
    </row>
    <row r="2" spans="1:8" ht="15.75" customHeight="1" x14ac:dyDescent="0.25">
      <c r="A2" s="517"/>
      <c r="B2" s="386"/>
    </row>
    <row r="3" spans="1:8" ht="75" customHeight="1" x14ac:dyDescent="0.25">
      <c r="A3" s="386" t="s">
        <v>0</v>
      </c>
      <c r="B3" s="386" t="s">
        <v>1</v>
      </c>
      <c r="C3" s="386" t="s">
        <v>11</v>
      </c>
      <c r="D3" s="386" t="s">
        <v>12</v>
      </c>
      <c r="E3" s="523" t="s">
        <v>387</v>
      </c>
      <c r="F3" s="524" t="s">
        <v>17</v>
      </c>
      <c r="G3" s="523" t="s">
        <v>3</v>
      </c>
      <c r="H3" s="525" t="s">
        <v>4</v>
      </c>
    </row>
    <row r="4" spans="1:8" ht="15" customHeight="1" x14ac:dyDescent="0.25">
      <c r="F4" s="372"/>
      <c r="G4" s="47"/>
      <c r="H4" s="47"/>
    </row>
    <row r="5" spans="1:8" ht="15" customHeight="1" x14ac:dyDescent="0.25">
      <c r="A5" s="513" t="s">
        <v>0</v>
      </c>
      <c r="C5" s="355" t="s">
        <v>7</v>
      </c>
      <c r="D5" s="355" t="s">
        <v>12</v>
      </c>
      <c r="F5" s="372" t="s">
        <v>2</v>
      </c>
      <c r="G5" s="47" t="s">
        <v>3</v>
      </c>
      <c r="H5" s="47" t="s">
        <v>4</v>
      </c>
    </row>
    <row r="6" spans="1:8" ht="15" customHeight="1" x14ac:dyDescent="0.25">
      <c r="A6" s="518" t="s">
        <v>184</v>
      </c>
      <c r="B6" s="395">
        <v>1623867</v>
      </c>
      <c r="C6" s="355" t="s">
        <v>185</v>
      </c>
      <c r="D6" s="355" t="s">
        <v>186</v>
      </c>
      <c r="F6" s="383">
        <v>9.5299999999999994</v>
      </c>
      <c r="G6" s="6">
        <v>1.59</v>
      </c>
      <c r="H6" s="2">
        <f>F6-G6</f>
        <v>7.9399999999999995</v>
      </c>
    </row>
    <row r="7" spans="1:8" s="2" customFormat="1" ht="15" customHeight="1" x14ac:dyDescent="0.25">
      <c r="A7" s="511" t="s">
        <v>382</v>
      </c>
      <c r="B7" s="42" t="s">
        <v>200</v>
      </c>
      <c r="C7" s="391" t="s">
        <v>187</v>
      </c>
      <c r="D7" s="391" t="s">
        <v>188</v>
      </c>
      <c r="E7" s="2">
        <v>1272.27</v>
      </c>
    </row>
    <row r="8" spans="1:8" ht="15" customHeight="1" x14ac:dyDescent="0.25">
      <c r="A8" s="518" t="s">
        <v>189</v>
      </c>
      <c r="B8" s="13" t="s">
        <v>264</v>
      </c>
      <c r="C8" s="355" t="s">
        <v>648</v>
      </c>
      <c r="D8" s="355" t="s">
        <v>191</v>
      </c>
      <c r="E8" s="47"/>
      <c r="F8" s="383">
        <v>126.67</v>
      </c>
      <c r="G8" s="6">
        <v>0</v>
      </c>
      <c r="H8" s="2">
        <f>F8-G8</f>
        <v>126.67</v>
      </c>
    </row>
    <row r="9" spans="1:8" s="2" customFormat="1" ht="15" customHeight="1" x14ac:dyDescent="0.25">
      <c r="A9" s="511" t="s">
        <v>189</v>
      </c>
      <c r="B9" s="42"/>
      <c r="C9" s="391" t="s">
        <v>79</v>
      </c>
      <c r="D9" s="391" t="s">
        <v>190</v>
      </c>
      <c r="E9" s="2">
        <v>435.32</v>
      </c>
    </row>
    <row r="10" spans="1:8" ht="15" customHeight="1" x14ac:dyDescent="0.25">
      <c r="A10" s="518" t="s">
        <v>192</v>
      </c>
      <c r="B10" s="13">
        <v>610146</v>
      </c>
      <c r="C10" s="355" t="s">
        <v>199</v>
      </c>
      <c r="D10" s="355" t="s">
        <v>177</v>
      </c>
      <c r="F10" s="383">
        <v>7725.55</v>
      </c>
      <c r="G10" s="6">
        <v>1900.26</v>
      </c>
      <c r="H10" s="2">
        <f>F10-G10</f>
        <v>5825.29</v>
      </c>
    </row>
    <row r="11" spans="1:8" ht="15" customHeight="1" x14ac:dyDescent="0.25">
      <c r="A11" s="518" t="s">
        <v>192</v>
      </c>
      <c r="B11" s="395"/>
      <c r="C11" s="355" t="s">
        <v>650</v>
      </c>
      <c r="D11" s="355" t="s">
        <v>196</v>
      </c>
      <c r="E11" s="47"/>
      <c r="F11" s="383">
        <v>20</v>
      </c>
      <c r="G11" s="6">
        <v>0</v>
      </c>
      <c r="H11" s="2">
        <f>F11-G11</f>
        <v>20</v>
      </c>
    </row>
    <row r="12" spans="1:8" ht="15" customHeight="1" x14ac:dyDescent="0.25">
      <c r="A12" s="518" t="s">
        <v>192</v>
      </c>
      <c r="B12" s="395"/>
      <c r="C12" s="355" t="s">
        <v>649</v>
      </c>
      <c r="D12" s="355" t="s">
        <v>195</v>
      </c>
      <c r="E12" s="47"/>
      <c r="F12" s="383">
        <v>20.3</v>
      </c>
      <c r="G12" s="6">
        <v>0</v>
      </c>
      <c r="H12" s="2">
        <f>F12-G12</f>
        <v>20.3</v>
      </c>
    </row>
    <row r="13" spans="1:8" ht="15" customHeight="1" x14ac:dyDescent="0.25">
      <c r="A13" s="518" t="s">
        <v>192</v>
      </c>
      <c r="B13" s="395">
        <v>20803</v>
      </c>
      <c r="C13" s="355" t="s">
        <v>193</v>
      </c>
      <c r="D13" s="355" t="s">
        <v>194</v>
      </c>
      <c r="E13" s="47"/>
      <c r="F13" s="383">
        <v>125</v>
      </c>
      <c r="G13" s="6">
        <v>0</v>
      </c>
      <c r="H13" s="2">
        <f>F13-G13</f>
        <v>125</v>
      </c>
    </row>
    <row r="14" spans="1:8" ht="15" customHeight="1" x14ac:dyDescent="0.25">
      <c r="A14" s="518" t="s">
        <v>192</v>
      </c>
      <c r="B14" s="13">
        <v>13354264</v>
      </c>
      <c r="C14" s="355" t="s">
        <v>197</v>
      </c>
      <c r="D14" s="355" t="s">
        <v>198</v>
      </c>
      <c r="E14" s="47"/>
      <c r="F14" s="383">
        <v>832.24</v>
      </c>
      <c r="G14" s="6">
        <v>0</v>
      </c>
      <c r="H14" s="2">
        <f>F14-G14</f>
        <v>832.24</v>
      </c>
    </row>
    <row r="15" spans="1:8" s="2" customFormat="1" ht="15" customHeight="1" x14ac:dyDescent="0.25">
      <c r="A15" s="511" t="s">
        <v>201</v>
      </c>
      <c r="B15" s="42"/>
      <c r="C15" s="391" t="s">
        <v>651</v>
      </c>
      <c r="D15" s="391" t="s">
        <v>202</v>
      </c>
      <c r="E15" s="2">
        <v>6250</v>
      </c>
    </row>
    <row r="16" spans="1:8" ht="15" customHeight="1" x14ac:dyDescent="0.25">
      <c r="A16" s="518" t="s">
        <v>203</v>
      </c>
      <c r="B16" s="395"/>
      <c r="C16" s="355" t="s">
        <v>206</v>
      </c>
      <c r="D16" s="355" t="s">
        <v>207</v>
      </c>
      <c r="F16" s="383">
        <v>15</v>
      </c>
      <c r="G16" s="6">
        <v>0</v>
      </c>
      <c r="H16" s="2">
        <f>F16-G16</f>
        <v>15</v>
      </c>
    </row>
    <row r="17" spans="1:8" ht="15" customHeight="1" x14ac:dyDescent="0.25">
      <c r="A17" s="518" t="s">
        <v>203</v>
      </c>
      <c r="B17" s="395"/>
      <c r="C17" s="355" t="s">
        <v>649</v>
      </c>
      <c r="D17" s="355" t="s">
        <v>205</v>
      </c>
      <c r="F17" s="383">
        <v>480.72</v>
      </c>
      <c r="G17" s="6">
        <v>0</v>
      </c>
      <c r="H17" s="2">
        <f>F17-G17</f>
        <v>480.72</v>
      </c>
    </row>
    <row r="18" spans="1:8" ht="15" customHeight="1" x14ac:dyDescent="0.25">
      <c r="A18" s="518" t="s">
        <v>203</v>
      </c>
      <c r="B18" s="395" t="s">
        <v>210</v>
      </c>
      <c r="C18" s="355" t="s">
        <v>652</v>
      </c>
      <c r="D18" s="355" t="s">
        <v>204</v>
      </c>
      <c r="F18" s="383">
        <v>195</v>
      </c>
      <c r="G18" s="6">
        <v>0</v>
      </c>
      <c r="H18" s="2">
        <f>F18-G18</f>
        <v>195</v>
      </c>
    </row>
    <row r="19" spans="1:8" ht="15" customHeight="1" x14ac:dyDescent="0.25">
      <c r="A19" s="518" t="s">
        <v>208</v>
      </c>
      <c r="B19" s="13" t="s">
        <v>211</v>
      </c>
      <c r="C19" s="355" t="s">
        <v>209</v>
      </c>
      <c r="D19" s="355" t="s">
        <v>212</v>
      </c>
      <c r="F19" s="383">
        <v>746</v>
      </c>
      <c r="G19" s="6">
        <v>0</v>
      </c>
      <c r="H19" s="2">
        <f>F19-G19</f>
        <v>746</v>
      </c>
    </row>
    <row r="20" spans="1:8" s="2" customFormat="1" ht="15" customHeight="1" x14ac:dyDescent="0.25">
      <c r="A20" s="511" t="s">
        <v>215</v>
      </c>
      <c r="B20" s="42" t="s">
        <v>216</v>
      </c>
      <c r="C20" s="391" t="s">
        <v>213</v>
      </c>
      <c r="D20" s="391" t="s">
        <v>214</v>
      </c>
      <c r="E20" s="2">
        <v>224</v>
      </c>
    </row>
    <row r="21" spans="1:8" s="2" customFormat="1" ht="15" customHeight="1" x14ac:dyDescent="0.25">
      <c r="A21" s="511" t="s">
        <v>217</v>
      </c>
      <c r="B21" s="42" t="s">
        <v>219</v>
      </c>
      <c r="C21" s="391" t="s">
        <v>218</v>
      </c>
      <c r="D21" s="391" t="s">
        <v>214</v>
      </c>
      <c r="E21" s="2">
        <v>30</v>
      </c>
    </row>
    <row r="22" spans="1:8" s="2" customFormat="1" ht="15" customHeight="1" x14ac:dyDescent="0.25">
      <c r="A22" s="511" t="s">
        <v>217</v>
      </c>
      <c r="B22" s="42" t="s">
        <v>220</v>
      </c>
      <c r="C22" s="391" t="s">
        <v>654</v>
      </c>
      <c r="D22" s="391" t="s">
        <v>653</v>
      </c>
      <c r="E22" s="2">
        <v>65</v>
      </c>
    </row>
    <row r="23" spans="1:8" s="2" customFormat="1" ht="15" customHeight="1" x14ac:dyDescent="0.25">
      <c r="A23" s="511" t="s">
        <v>246</v>
      </c>
      <c r="B23" s="42" t="s">
        <v>249</v>
      </c>
      <c r="C23" s="391" t="s">
        <v>247</v>
      </c>
      <c r="D23" s="391" t="s">
        <v>248</v>
      </c>
      <c r="F23" s="370">
        <v>27.99</v>
      </c>
      <c r="G23" s="2">
        <v>4.67</v>
      </c>
      <c r="H23" s="2">
        <f>F23-G23</f>
        <v>23.32</v>
      </c>
    </row>
    <row r="24" spans="1:8" s="2" customFormat="1" ht="15" customHeight="1" x14ac:dyDescent="0.25">
      <c r="A24" s="511" t="s">
        <v>263</v>
      </c>
      <c r="B24" s="42" t="s">
        <v>250</v>
      </c>
      <c r="C24" s="391" t="s">
        <v>648</v>
      </c>
      <c r="D24" s="391" t="s">
        <v>265</v>
      </c>
      <c r="F24" s="370">
        <v>126.67</v>
      </c>
      <c r="G24" s="2">
        <v>0</v>
      </c>
      <c r="H24" s="2">
        <f>F24-G24</f>
        <v>126.67</v>
      </c>
    </row>
    <row r="25" spans="1:8" s="2" customFormat="1" ht="15" customHeight="1" x14ac:dyDescent="0.25">
      <c r="A25" s="511" t="s">
        <v>263</v>
      </c>
      <c r="B25" s="42"/>
      <c r="C25" s="391" t="s">
        <v>295</v>
      </c>
      <c r="D25" s="391" t="s">
        <v>294</v>
      </c>
      <c r="E25" s="2">
        <v>206.45</v>
      </c>
    </row>
    <row r="26" spans="1:8" s="2" customFormat="1" ht="15" customHeight="1" x14ac:dyDescent="0.25">
      <c r="A26" s="511" t="s">
        <v>266</v>
      </c>
      <c r="B26" s="42"/>
      <c r="C26" s="391" t="s">
        <v>267</v>
      </c>
      <c r="D26" s="391" t="s">
        <v>268</v>
      </c>
      <c r="F26" s="370">
        <v>10.8</v>
      </c>
      <c r="G26" s="2">
        <v>0</v>
      </c>
      <c r="H26" s="2">
        <f>F26-G26</f>
        <v>10.8</v>
      </c>
    </row>
    <row r="27" spans="1:8" s="2" customFormat="1" ht="15" customHeight="1" x14ac:dyDescent="0.25">
      <c r="A27" s="511" t="s">
        <v>266</v>
      </c>
      <c r="B27" s="42" t="s">
        <v>250</v>
      </c>
      <c r="C27" s="391" t="s">
        <v>648</v>
      </c>
      <c r="D27" s="391" t="s">
        <v>256</v>
      </c>
      <c r="F27" s="370">
        <v>23.25</v>
      </c>
      <c r="G27" s="2">
        <v>3.88</v>
      </c>
      <c r="H27" s="2">
        <f>F27-G27</f>
        <v>19.37</v>
      </c>
    </row>
    <row r="28" spans="1:8" s="2" customFormat="1" ht="15" customHeight="1" x14ac:dyDescent="0.25">
      <c r="A28" s="511" t="s">
        <v>266</v>
      </c>
      <c r="B28" s="42" t="s">
        <v>250</v>
      </c>
      <c r="C28" s="391" t="s">
        <v>649</v>
      </c>
      <c r="D28" s="391" t="s">
        <v>251</v>
      </c>
      <c r="F28" s="370">
        <v>24.48</v>
      </c>
      <c r="G28" s="2">
        <v>0</v>
      </c>
      <c r="H28" s="2">
        <f>F28-G28</f>
        <v>24.48</v>
      </c>
    </row>
    <row r="29" spans="1:8" s="2" customFormat="1" ht="15" customHeight="1" x14ac:dyDescent="0.25">
      <c r="A29" s="511" t="s">
        <v>266</v>
      </c>
      <c r="B29" s="42">
        <v>701085500</v>
      </c>
      <c r="C29" s="391" t="s">
        <v>651</v>
      </c>
      <c r="D29" s="391" t="s">
        <v>151</v>
      </c>
      <c r="F29" s="370">
        <v>61.94</v>
      </c>
      <c r="G29" s="2">
        <v>0</v>
      </c>
      <c r="H29" s="2">
        <f>F29-G29</f>
        <v>61.94</v>
      </c>
    </row>
    <row r="30" spans="1:8" s="2" customFormat="1" ht="15" customHeight="1" x14ac:dyDescent="0.25">
      <c r="A30" s="511" t="s">
        <v>266</v>
      </c>
      <c r="B30" s="42" t="s">
        <v>254</v>
      </c>
      <c r="C30" s="391" t="s">
        <v>206</v>
      </c>
      <c r="D30" s="391" t="s">
        <v>255</v>
      </c>
      <c r="F30" s="370">
        <v>100.01</v>
      </c>
      <c r="G30" s="2">
        <v>4.18</v>
      </c>
      <c r="H30" s="2">
        <f>F30-G30</f>
        <v>95.830000000000013</v>
      </c>
    </row>
    <row r="31" spans="1:8" s="2" customFormat="1" ht="15" customHeight="1" x14ac:dyDescent="0.25">
      <c r="A31" s="511" t="s">
        <v>266</v>
      </c>
      <c r="B31" s="42">
        <v>8867</v>
      </c>
      <c r="C31" s="391" t="s">
        <v>257</v>
      </c>
      <c r="D31" s="391" t="s">
        <v>258</v>
      </c>
      <c r="F31" s="370">
        <v>190.24</v>
      </c>
      <c r="G31" s="2">
        <v>31.71</v>
      </c>
      <c r="H31" s="2">
        <f>F31-G31</f>
        <v>158.53</v>
      </c>
    </row>
    <row r="32" spans="1:8" s="2" customFormat="1" ht="15" customHeight="1" x14ac:dyDescent="0.25">
      <c r="A32" s="511" t="s">
        <v>266</v>
      </c>
      <c r="B32" s="42" t="s">
        <v>252</v>
      </c>
      <c r="C32" s="391" t="s">
        <v>652</v>
      </c>
      <c r="D32" s="391" t="s">
        <v>253</v>
      </c>
      <c r="F32" s="370">
        <v>450</v>
      </c>
      <c r="G32" s="2">
        <v>0</v>
      </c>
      <c r="H32" s="2">
        <f>F32-G32</f>
        <v>450</v>
      </c>
    </row>
    <row r="33" spans="1:8" s="2" customFormat="1" ht="15" customHeight="1" x14ac:dyDescent="0.25">
      <c r="A33" s="511" t="s">
        <v>266</v>
      </c>
      <c r="B33" s="42" t="s">
        <v>260</v>
      </c>
      <c r="C33" s="391" t="s">
        <v>261</v>
      </c>
      <c r="D33" s="391" t="s">
        <v>262</v>
      </c>
      <c r="F33" s="370">
        <v>783.26</v>
      </c>
      <c r="G33" s="2">
        <v>0</v>
      </c>
      <c r="H33" s="2">
        <f>F33-G33</f>
        <v>783.26</v>
      </c>
    </row>
    <row r="34" spans="1:8" s="2" customFormat="1" ht="15" customHeight="1" x14ac:dyDescent="0.25">
      <c r="A34" s="511" t="s">
        <v>266</v>
      </c>
      <c r="B34" s="42" t="s">
        <v>271</v>
      </c>
      <c r="C34" s="391" t="s">
        <v>272</v>
      </c>
      <c r="D34" s="391" t="s">
        <v>214</v>
      </c>
      <c r="E34" s="2">
        <v>24</v>
      </c>
    </row>
    <row r="35" spans="1:8" s="2" customFormat="1" ht="15" customHeight="1" x14ac:dyDescent="0.25">
      <c r="A35" s="511" t="s">
        <v>266</v>
      </c>
      <c r="B35" s="42" t="s">
        <v>273</v>
      </c>
      <c r="C35" s="391" t="s">
        <v>274</v>
      </c>
      <c r="D35" s="391" t="s">
        <v>214</v>
      </c>
      <c r="E35" s="2">
        <v>64</v>
      </c>
    </row>
    <row r="36" spans="1:8" s="2" customFormat="1" ht="15" customHeight="1" x14ac:dyDescent="0.25">
      <c r="A36" s="511" t="s">
        <v>276</v>
      </c>
      <c r="B36" s="42" t="s">
        <v>275</v>
      </c>
      <c r="C36" s="391" t="s">
        <v>269</v>
      </c>
      <c r="D36" s="391" t="s">
        <v>653</v>
      </c>
      <c r="E36" s="2">
        <v>65</v>
      </c>
    </row>
    <row r="37" spans="1:8" s="2" customFormat="1" ht="15" customHeight="1" x14ac:dyDescent="0.25">
      <c r="A37" s="511" t="s">
        <v>270</v>
      </c>
      <c r="B37" s="42" t="s">
        <v>259</v>
      </c>
      <c r="C37" s="391" t="s">
        <v>209</v>
      </c>
      <c r="D37" s="391" t="s">
        <v>177</v>
      </c>
      <c r="F37" s="370">
        <v>1142.99</v>
      </c>
      <c r="G37" s="2">
        <v>314.83</v>
      </c>
      <c r="H37" s="2">
        <f>F37-G37</f>
        <v>828.16000000000008</v>
      </c>
    </row>
    <row r="38" spans="1:8" s="2" customFormat="1" ht="15" customHeight="1" x14ac:dyDescent="0.25">
      <c r="A38" s="511" t="s">
        <v>277</v>
      </c>
      <c r="B38" s="42" t="s">
        <v>250</v>
      </c>
      <c r="C38" s="391" t="s">
        <v>206</v>
      </c>
      <c r="D38" s="391" t="s">
        <v>279</v>
      </c>
      <c r="F38" s="370">
        <v>15</v>
      </c>
      <c r="G38" s="2">
        <v>0</v>
      </c>
      <c r="H38" s="2">
        <f>F38-G38</f>
        <v>15</v>
      </c>
    </row>
    <row r="39" spans="1:8" s="2" customFormat="1" ht="15" customHeight="1" x14ac:dyDescent="0.25">
      <c r="A39" s="511" t="s">
        <v>277</v>
      </c>
      <c r="B39" s="42" t="s">
        <v>250</v>
      </c>
      <c r="C39" s="391" t="s">
        <v>649</v>
      </c>
      <c r="D39" s="391" t="s">
        <v>278</v>
      </c>
      <c r="F39" s="370">
        <v>480.72</v>
      </c>
      <c r="G39" s="2">
        <v>0</v>
      </c>
      <c r="H39" s="2">
        <f>F39-G39</f>
        <v>480.72</v>
      </c>
    </row>
    <row r="40" spans="1:8" s="2" customFormat="1" ht="15" customHeight="1" x14ac:dyDescent="0.25">
      <c r="A40" s="511" t="s">
        <v>280</v>
      </c>
      <c r="B40" s="47"/>
      <c r="C40" s="391" t="s">
        <v>281</v>
      </c>
      <c r="D40" s="391" t="s">
        <v>282</v>
      </c>
      <c r="E40" s="47">
        <v>69.59</v>
      </c>
      <c r="F40" s="372"/>
    </row>
    <row r="41" spans="1:8" s="380" customFormat="1" ht="29.25" customHeight="1" x14ac:dyDescent="0.25">
      <c r="A41" s="511" t="s">
        <v>283</v>
      </c>
      <c r="B41" s="42" t="s">
        <v>308</v>
      </c>
      <c r="C41" s="391" t="s">
        <v>213</v>
      </c>
      <c r="D41" s="391" t="s">
        <v>214</v>
      </c>
      <c r="E41" s="2">
        <v>112</v>
      </c>
      <c r="F41" s="2"/>
    </row>
    <row r="42" spans="1:8" s="2" customFormat="1" ht="15" customHeight="1" x14ac:dyDescent="0.25">
      <c r="A42" s="380" t="s">
        <v>284</v>
      </c>
      <c r="B42" s="354" t="s">
        <v>309</v>
      </c>
      <c r="C42" s="519" t="s">
        <v>654</v>
      </c>
      <c r="D42" s="516" t="s">
        <v>285</v>
      </c>
      <c r="E42" s="380">
        <v>150</v>
      </c>
      <c r="F42" s="380"/>
    </row>
    <row r="43" spans="1:8" s="2" customFormat="1" ht="15" customHeight="1" x14ac:dyDescent="0.25">
      <c r="A43" s="511" t="s">
        <v>286</v>
      </c>
      <c r="B43" s="42" t="s">
        <v>297</v>
      </c>
      <c r="C43" s="391" t="s">
        <v>298</v>
      </c>
      <c r="D43" s="391" t="s">
        <v>214</v>
      </c>
      <c r="E43" s="2">
        <v>48</v>
      </c>
    </row>
    <row r="44" spans="1:8" s="2" customFormat="1" ht="15" customHeight="1" x14ac:dyDescent="0.25">
      <c r="A44" s="511" t="s">
        <v>286</v>
      </c>
      <c r="B44" s="42" t="s">
        <v>299</v>
      </c>
      <c r="C44" s="391" t="s">
        <v>274</v>
      </c>
      <c r="D44" s="391" t="s">
        <v>214</v>
      </c>
      <c r="E44" s="2">
        <v>64</v>
      </c>
      <c r="G44" s="2">
        <v>0</v>
      </c>
      <c r="H44" s="2">
        <f>F45-G44</f>
        <v>15.68</v>
      </c>
    </row>
    <row r="45" spans="1:8" s="2" customFormat="1" ht="15" customHeight="1" x14ac:dyDescent="0.25">
      <c r="A45" s="511" t="s">
        <v>287</v>
      </c>
      <c r="B45" s="42"/>
      <c r="C45" s="391" t="s">
        <v>649</v>
      </c>
      <c r="D45" s="391" t="s">
        <v>293</v>
      </c>
      <c r="F45" s="370">
        <v>15.68</v>
      </c>
      <c r="G45" s="2">
        <v>0</v>
      </c>
      <c r="H45" s="2">
        <f>F46-G45</f>
        <v>18.36</v>
      </c>
    </row>
    <row r="46" spans="1:8" s="2" customFormat="1" ht="15" customHeight="1" x14ac:dyDescent="0.25">
      <c r="A46" s="511" t="s">
        <v>287</v>
      </c>
      <c r="B46" s="42" t="s">
        <v>291</v>
      </c>
      <c r="C46" s="391" t="s">
        <v>649</v>
      </c>
      <c r="D46" s="391" t="s">
        <v>292</v>
      </c>
      <c r="F46" s="370">
        <v>18.36</v>
      </c>
      <c r="G46" s="2">
        <v>0</v>
      </c>
      <c r="H46" s="2">
        <f>F47-G46</f>
        <v>29</v>
      </c>
    </row>
    <row r="47" spans="1:8" s="2" customFormat="1" ht="15" customHeight="1" x14ac:dyDescent="0.25">
      <c r="A47" s="511" t="s">
        <v>287</v>
      </c>
      <c r="B47" s="42"/>
      <c r="C47" s="391" t="s">
        <v>652</v>
      </c>
      <c r="D47" s="391" t="s">
        <v>288</v>
      </c>
      <c r="F47" s="370">
        <v>29</v>
      </c>
      <c r="G47" s="2">
        <v>0</v>
      </c>
      <c r="H47" s="2">
        <f>F48-G47</f>
        <v>46</v>
      </c>
    </row>
    <row r="48" spans="1:8" s="2" customFormat="1" ht="15" customHeight="1" x14ac:dyDescent="0.25">
      <c r="A48" s="511" t="s">
        <v>287</v>
      </c>
      <c r="B48" s="42">
        <v>54703</v>
      </c>
      <c r="C48" s="391" t="s">
        <v>289</v>
      </c>
      <c r="D48" s="391" t="s">
        <v>290</v>
      </c>
      <c r="F48" s="370">
        <v>46</v>
      </c>
    </row>
    <row r="49" spans="1:8" s="2" customFormat="1" ht="15" customHeight="1" x14ac:dyDescent="0.25">
      <c r="A49" s="511" t="s">
        <v>300</v>
      </c>
      <c r="B49" s="42" t="s">
        <v>305</v>
      </c>
      <c r="C49" s="391" t="s">
        <v>651</v>
      </c>
      <c r="D49" s="391" t="s">
        <v>306</v>
      </c>
      <c r="E49" s="2">
        <v>160</v>
      </c>
    </row>
    <row r="50" spans="1:8" s="2" customFormat="1" ht="15" customHeight="1" x14ac:dyDescent="0.25">
      <c r="A50" s="511" t="s">
        <v>300</v>
      </c>
      <c r="B50" s="42" t="s">
        <v>304</v>
      </c>
      <c r="C50" s="391" t="s">
        <v>187</v>
      </c>
      <c r="D50" s="391" t="s">
        <v>333</v>
      </c>
      <c r="E50" s="2">
        <v>1530.04</v>
      </c>
      <c r="G50" s="2">
        <v>0</v>
      </c>
      <c r="H50" s="2">
        <f>F51-G50</f>
        <v>126.67</v>
      </c>
    </row>
    <row r="51" spans="1:8" s="2" customFormat="1" ht="15" customHeight="1" x14ac:dyDescent="0.25">
      <c r="A51" s="511" t="s">
        <v>303</v>
      </c>
      <c r="B51" s="42" t="s">
        <v>291</v>
      </c>
      <c r="C51" s="391" t="s">
        <v>648</v>
      </c>
      <c r="D51" s="391" t="s">
        <v>301</v>
      </c>
      <c r="F51" s="370">
        <v>126.67</v>
      </c>
    </row>
    <row r="52" spans="1:8" ht="15" customHeight="1" x14ac:dyDescent="0.25">
      <c r="A52" s="511" t="s">
        <v>302</v>
      </c>
      <c r="B52" s="42" t="s">
        <v>307</v>
      </c>
      <c r="C52" s="391" t="s">
        <v>272</v>
      </c>
      <c r="D52" s="391" t="s">
        <v>214</v>
      </c>
      <c r="E52" s="2">
        <v>24</v>
      </c>
      <c r="F52" s="2"/>
      <c r="G52" s="6">
        <v>5</v>
      </c>
      <c r="H52" s="2">
        <f>F53-G52</f>
        <v>19.989999999999998</v>
      </c>
    </row>
    <row r="53" spans="1:8" ht="15" customHeight="1" x14ac:dyDescent="0.25">
      <c r="A53" s="512" t="s">
        <v>317</v>
      </c>
      <c r="B53" s="354" t="s">
        <v>329</v>
      </c>
      <c r="C53" s="355" t="s">
        <v>311</v>
      </c>
      <c r="D53" s="355" t="s">
        <v>312</v>
      </c>
      <c r="F53" s="383">
        <v>24.99</v>
      </c>
      <c r="G53" s="6">
        <v>25.67</v>
      </c>
      <c r="H53" s="2">
        <f>F55-G53</f>
        <v>128.32999999999998</v>
      </c>
    </row>
    <row r="54" spans="1:8" ht="15" customHeight="1" x14ac:dyDescent="0.25">
      <c r="A54" s="511" t="s">
        <v>317</v>
      </c>
      <c r="B54" s="47"/>
      <c r="C54" s="391" t="s">
        <v>295</v>
      </c>
      <c r="D54" s="391" t="s">
        <v>318</v>
      </c>
      <c r="E54" s="47"/>
      <c r="F54" s="372">
        <v>1020</v>
      </c>
      <c r="G54" s="6"/>
    </row>
    <row r="55" spans="1:8" s="2" customFormat="1" ht="15" customHeight="1" x14ac:dyDescent="0.25">
      <c r="A55" s="512" t="s">
        <v>317</v>
      </c>
      <c r="B55" s="354">
        <v>178704</v>
      </c>
      <c r="C55" s="355" t="s">
        <v>313</v>
      </c>
      <c r="D55" s="355" t="s">
        <v>314</v>
      </c>
      <c r="F55" s="383">
        <v>154</v>
      </c>
    </row>
    <row r="56" spans="1:8" s="2" customFormat="1" ht="15" customHeight="1" x14ac:dyDescent="0.25">
      <c r="A56" s="511" t="s">
        <v>317</v>
      </c>
      <c r="B56" s="42"/>
      <c r="C56" s="391" t="s">
        <v>295</v>
      </c>
      <c r="D56" s="391" t="s">
        <v>388</v>
      </c>
      <c r="E56" s="2">
        <v>1020</v>
      </c>
      <c r="G56" s="2">
        <v>204</v>
      </c>
      <c r="H56" s="2">
        <f>F57-G56</f>
        <v>1020</v>
      </c>
    </row>
    <row r="57" spans="1:8" s="2" customFormat="1" ht="15" customHeight="1" x14ac:dyDescent="0.25">
      <c r="A57" s="511" t="s">
        <v>319</v>
      </c>
      <c r="B57" s="42">
        <v>1988</v>
      </c>
      <c r="C57" s="391" t="s">
        <v>315</v>
      </c>
      <c r="D57" s="391" t="s">
        <v>316</v>
      </c>
      <c r="F57" s="370">
        <v>1224</v>
      </c>
    </row>
    <row r="58" spans="1:8" s="2" customFormat="1" ht="15" customHeight="1" x14ac:dyDescent="0.25">
      <c r="A58" s="511" t="s">
        <v>320</v>
      </c>
      <c r="B58" s="42" t="s">
        <v>325</v>
      </c>
      <c r="C58" s="391" t="s">
        <v>298</v>
      </c>
      <c r="D58" s="391" t="s">
        <v>214</v>
      </c>
      <c r="E58" s="2">
        <v>24</v>
      </c>
    </row>
    <row r="59" spans="1:8" s="2" customFormat="1" ht="15" customHeight="1" x14ac:dyDescent="0.25">
      <c r="A59" s="511" t="s">
        <v>320</v>
      </c>
      <c r="B59" s="42" t="s">
        <v>327</v>
      </c>
      <c r="C59" s="391" t="s">
        <v>326</v>
      </c>
      <c r="D59" s="391" t="s">
        <v>214</v>
      </c>
      <c r="E59" s="2">
        <v>32</v>
      </c>
    </row>
    <row r="60" spans="1:8" s="2" customFormat="1" ht="15" customHeight="1" x14ac:dyDescent="0.25">
      <c r="A60" s="511" t="s">
        <v>320</v>
      </c>
      <c r="B60" s="42" t="s">
        <v>328</v>
      </c>
      <c r="C60" s="391" t="s">
        <v>321</v>
      </c>
      <c r="D60" s="391" t="s">
        <v>214</v>
      </c>
      <c r="E60" s="2">
        <v>16</v>
      </c>
      <c r="G60" s="2">
        <v>0</v>
      </c>
      <c r="H60" s="2">
        <f>F61-G60</f>
        <v>15</v>
      </c>
    </row>
    <row r="61" spans="1:8" s="2" customFormat="1" ht="15" customHeight="1" x14ac:dyDescent="0.25">
      <c r="A61" s="511" t="s">
        <v>322</v>
      </c>
      <c r="B61" s="42"/>
      <c r="C61" s="391" t="s">
        <v>206</v>
      </c>
      <c r="D61" s="391" t="s">
        <v>324</v>
      </c>
      <c r="F61" s="370">
        <v>15</v>
      </c>
      <c r="G61" s="2">
        <v>0</v>
      </c>
      <c r="H61" s="2">
        <f>F62-G61</f>
        <v>496.4</v>
      </c>
    </row>
    <row r="62" spans="1:8" s="2" customFormat="1" ht="15" customHeight="1" x14ac:dyDescent="0.25">
      <c r="A62" s="511" t="s">
        <v>322</v>
      </c>
      <c r="B62" s="42"/>
      <c r="C62" s="391" t="s">
        <v>649</v>
      </c>
      <c r="D62" s="391" t="s">
        <v>323</v>
      </c>
      <c r="F62" s="370">
        <v>496.4</v>
      </c>
    </row>
    <row r="63" spans="1:8" s="380" customFormat="1" ht="32.25" customHeight="1" x14ac:dyDescent="0.25">
      <c r="A63" s="511" t="s">
        <v>330</v>
      </c>
      <c r="B63" s="42" t="s">
        <v>332</v>
      </c>
      <c r="C63" s="391" t="s">
        <v>269</v>
      </c>
      <c r="D63" s="391" t="s">
        <v>331</v>
      </c>
      <c r="E63" s="2">
        <v>159.66999999999999</v>
      </c>
      <c r="F63" s="2"/>
    </row>
    <row r="64" spans="1:8" s="2" customFormat="1" ht="15" customHeight="1" x14ac:dyDescent="0.25">
      <c r="A64" s="380" t="s">
        <v>334</v>
      </c>
      <c r="B64" s="354" t="s">
        <v>335</v>
      </c>
      <c r="C64" s="519" t="s">
        <v>654</v>
      </c>
      <c r="D64" s="516" t="s">
        <v>288</v>
      </c>
      <c r="E64" s="380">
        <v>9.67</v>
      </c>
      <c r="F64" s="380"/>
    </row>
    <row r="65" spans="1:8" s="2" customFormat="1" ht="15" customHeight="1" x14ac:dyDescent="0.25">
      <c r="A65" s="511" t="s">
        <v>336</v>
      </c>
      <c r="B65" s="42" t="s">
        <v>338</v>
      </c>
      <c r="C65" s="391" t="s">
        <v>337</v>
      </c>
      <c r="D65" s="391" t="s">
        <v>214</v>
      </c>
      <c r="E65" s="2">
        <v>30</v>
      </c>
    </row>
    <row r="66" spans="1:8" s="2" customFormat="1" ht="15" customHeight="1" x14ac:dyDescent="0.25">
      <c r="A66" s="511" t="s">
        <v>340</v>
      </c>
      <c r="B66" s="42"/>
      <c r="C66" s="391" t="s">
        <v>79</v>
      </c>
      <c r="D66" s="391" t="s">
        <v>341</v>
      </c>
      <c r="E66" s="2">
        <v>2495.79</v>
      </c>
      <c r="G66" s="2">
        <v>0</v>
      </c>
      <c r="H66" s="2">
        <f>F67-G66</f>
        <v>18.36</v>
      </c>
    </row>
    <row r="67" spans="1:8" s="2" customFormat="1" ht="15" customHeight="1" x14ac:dyDescent="0.25">
      <c r="A67" s="511" t="s">
        <v>358</v>
      </c>
      <c r="B67" s="42" t="s">
        <v>356</v>
      </c>
      <c r="C67" s="391" t="s">
        <v>649</v>
      </c>
      <c r="D67" s="391" t="s">
        <v>357</v>
      </c>
      <c r="F67" s="370">
        <v>18.36</v>
      </c>
      <c r="G67" s="2">
        <v>0</v>
      </c>
      <c r="H67" s="2">
        <f>F68-G67</f>
        <v>25</v>
      </c>
    </row>
    <row r="68" spans="1:8" s="2" customFormat="1" ht="15" customHeight="1" x14ac:dyDescent="0.25">
      <c r="A68" s="511" t="s">
        <v>358</v>
      </c>
      <c r="B68" s="42"/>
      <c r="C68" s="391" t="s">
        <v>648</v>
      </c>
      <c r="D68" s="391" t="s">
        <v>355</v>
      </c>
      <c r="F68" s="370">
        <v>25</v>
      </c>
      <c r="G68" s="2">
        <v>0</v>
      </c>
      <c r="H68" s="2">
        <f>F69-G68</f>
        <v>36</v>
      </c>
    </row>
    <row r="69" spans="1:8" s="2" customFormat="1" ht="15" customHeight="1" x14ac:dyDescent="0.25">
      <c r="A69" s="511" t="s">
        <v>358</v>
      </c>
      <c r="B69" s="42" t="s">
        <v>345</v>
      </c>
      <c r="C69" s="391" t="s">
        <v>346</v>
      </c>
      <c r="D69" s="391" t="s">
        <v>347</v>
      </c>
      <c r="F69" s="370">
        <v>36</v>
      </c>
      <c r="G69" s="2">
        <v>0</v>
      </c>
      <c r="H69" s="2">
        <f>F70-G69</f>
        <v>36.090000000000003</v>
      </c>
    </row>
    <row r="70" spans="1:8" s="2" customFormat="1" ht="15" customHeight="1" x14ac:dyDescent="0.25">
      <c r="A70" s="511" t="s">
        <v>358</v>
      </c>
      <c r="B70" s="42" t="s">
        <v>348</v>
      </c>
      <c r="C70" s="391" t="s">
        <v>206</v>
      </c>
      <c r="D70" s="391" t="s">
        <v>349</v>
      </c>
      <c r="F70" s="370">
        <v>36.090000000000003</v>
      </c>
      <c r="G70" s="2">
        <v>0</v>
      </c>
      <c r="H70" s="2">
        <f>F71-G70</f>
        <v>75</v>
      </c>
    </row>
    <row r="71" spans="1:8" s="2" customFormat="1" ht="15" customHeight="1" x14ac:dyDescent="0.25">
      <c r="A71" s="511" t="s">
        <v>358</v>
      </c>
      <c r="B71" s="42" t="s">
        <v>342</v>
      </c>
      <c r="C71" s="391" t="s">
        <v>343</v>
      </c>
      <c r="D71" s="391" t="s">
        <v>344</v>
      </c>
      <c r="F71" s="370">
        <v>75</v>
      </c>
      <c r="G71" s="2">
        <v>17.2</v>
      </c>
      <c r="H71" s="2">
        <f>F72-G71</f>
        <v>86</v>
      </c>
    </row>
    <row r="72" spans="1:8" s="2" customFormat="1" ht="15" customHeight="1" x14ac:dyDescent="0.25">
      <c r="A72" s="511" t="s">
        <v>358</v>
      </c>
      <c r="B72" s="42">
        <v>80944</v>
      </c>
      <c r="C72" s="391" t="s">
        <v>351</v>
      </c>
      <c r="D72" s="391" t="s">
        <v>352</v>
      </c>
      <c r="F72" s="370">
        <v>103.2</v>
      </c>
      <c r="G72" s="2">
        <v>0</v>
      </c>
      <c r="H72" s="2">
        <f>F73-G72</f>
        <v>170</v>
      </c>
    </row>
    <row r="73" spans="1:8" s="2" customFormat="1" ht="15" customHeight="1" x14ac:dyDescent="0.25">
      <c r="A73" s="511" t="s">
        <v>358</v>
      </c>
      <c r="B73" s="42">
        <v>4</v>
      </c>
      <c r="C73" s="391" t="s">
        <v>353</v>
      </c>
      <c r="D73" s="391" t="s">
        <v>354</v>
      </c>
      <c r="F73" s="370">
        <v>170</v>
      </c>
      <c r="G73" s="2">
        <v>46.8</v>
      </c>
      <c r="H73" s="2">
        <f>F74-G73</f>
        <v>234</v>
      </c>
    </row>
    <row r="74" spans="1:8" s="2" customFormat="1" ht="15" customHeight="1" x14ac:dyDescent="0.25">
      <c r="A74" s="511" t="s">
        <v>358</v>
      </c>
      <c r="B74" s="42">
        <v>1992</v>
      </c>
      <c r="C74" s="391" t="s">
        <v>655</v>
      </c>
      <c r="D74" s="391" t="s">
        <v>350</v>
      </c>
      <c r="F74" s="370">
        <v>280.8</v>
      </c>
    </row>
    <row r="75" spans="1:8" s="2" customFormat="1" ht="15" customHeight="1" x14ac:dyDescent="0.25">
      <c r="A75" s="511" t="s">
        <v>358</v>
      </c>
      <c r="B75" s="42" t="s">
        <v>329</v>
      </c>
      <c r="C75" s="391" t="s">
        <v>311</v>
      </c>
      <c r="D75" s="391" t="s">
        <v>359</v>
      </c>
      <c r="E75" s="2">
        <v>24.99</v>
      </c>
      <c r="G75" s="2">
        <v>0</v>
      </c>
      <c r="H75" s="2">
        <f>F76-G75</f>
        <v>126.67</v>
      </c>
    </row>
    <row r="76" spans="1:8" s="2" customFormat="1" ht="15" customHeight="1" x14ac:dyDescent="0.25">
      <c r="A76" s="511" t="s">
        <v>361</v>
      </c>
      <c r="B76" s="42" t="s">
        <v>356</v>
      </c>
      <c r="C76" s="391" t="s">
        <v>648</v>
      </c>
      <c r="D76" s="391" t="s">
        <v>360</v>
      </c>
      <c r="F76" s="370">
        <v>126.67</v>
      </c>
    </row>
    <row r="77" spans="1:8" s="2" customFormat="1" ht="15" customHeight="1" x14ac:dyDescent="0.25">
      <c r="A77" s="511" t="s">
        <v>361</v>
      </c>
      <c r="B77" s="42" t="s">
        <v>369</v>
      </c>
      <c r="C77" s="391" t="s">
        <v>298</v>
      </c>
      <c r="D77" s="391" t="s">
        <v>214</v>
      </c>
      <c r="E77" s="2">
        <v>36</v>
      </c>
    </row>
    <row r="78" spans="1:8" s="2" customFormat="1" ht="15" customHeight="1" x14ac:dyDescent="0.25">
      <c r="A78" s="511" t="s">
        <v>361</v>
      </c>
      <c r="B78" s="42" t="s">
        <v>368</v>
      </c>
      <c r="C78" s="391" t="s">
        <v>274</v>
      </c>
      <c r="D78" s="391" t="s">
        <v>214</v>
      </c>
      <c r="E78" s="2">
        <v>48</v>
      </c>
    </row>
    <row r="79" spans="1:8" ht="15" customHeight="1" x14ac:dyDescent="0.25">
      <c r="A79" s="511" t="s">
        <v>362</v>
      </c>
      <c r="B79" s="42" t="s">
        <v>370</v>
      </c>
      <c r="C79" s="391" t="s">
        <v>651</v>
      </c>
      <c r="D79" s="391" t="s">
        <v>363</v>
      </c>
      <c r="E79" s="2">
        <v>150</v>
      </c>
      <c r="F79" s="2"/>
      <c r="G79" s="6">
        <v>234.46</v>
      </c>
      <c r="H79" s="2">
        <f>F80-G79</f>
        <v>1172.29</v>
      </c>
    </row>
    <row r="80" spans="1:8" ht="15" customHeight="1" x14ac:dyDescent="0.25">
      <c r="A80" s="518" t="s">
        <v>364</v>
      </c>
      <c r="B80" s="13"/>
      <c r="C80" s="14" t="s">
        <v>209</v>
      </c>
      <c r="D80" s="389" t="s">
        <v>177</v>
      </c>
      <c r="E80" s="1"/>
      <c r="F80" s="390">
        <v>1406.75</v>
      </c>
      <c r="G80" s="6">
        <v>0</v>
      </c>
      <c r="H80" s="2">
        <f>F81-G80</f>
        <v>15</v>
      </c>
    </row>
    <row r="81" spans="1:8" ht="15" customHeight="1" x14ac:dyDescent="0.25">
      <c r="A81" s="512" t="s">
        <v>365</v>
      </c>
      <c r="B81" s="354" t="s">
        <v>356</v>
      </c>
      <c r="C81" s="355" t="s">
        <v>206</v>
      </c>
      <c r="D81" s="355" t="s">
        <v>367</v>
      </c>
      <c r="F81" s="383">
        <v>15</v>
      </c>
      <c r="G81" s="6">
        <v>0</v>
      </c>
      <c r="H81" s="2">
        <f>F82-G81</f>
        <v>496.4</v>
      </c>
    </row>
    <row r="82" spans="1:8" ht="15" customHeight="1" x14ac:dyDescent="0.25">
      <c r="A82" s="512" t="s">
        <v>365</v>
      </c>
      <c r="B82" s="354" t="s">
        <v>356</v>
      </c>
      <c r="C82" s="355" t="s">
        <v>649</v>
      </c>
      <c r="D82" s="355" t="s">
        <v>366</v>
      </c>
      <c r="F82" s="383">
        <v>496.4</v>
      </c>
      <c r="G82" s="6">
        <v>0</v>
      </c>
      <c r="H82" s="2">
        <f>F83-G82</f>
        <v>126.67</v>
      </c>
    </row>
    <row r="83" spans="1:8" ht="15" customHeight="1" x14ac:dyDescent="0.25">
      <c r="A83" s="512" t="s">
        <v>372</v>
      </c>
      <c r="B83" s="354" t="s">
        <v>373</v>
      </c>
      <c r="C83" s="355" t="s">
        <v>648</v>
      </c>
      <c r="D83" s="355" t="s">
        <v>374</v>
      </c>
      <c r="F83" s="383">
        <v>126.67</v>
      </c>
      <c r="G83" s="6">
        <v>77.59</v>
      </c>
      <c r="H83" s="2">
        <f>F84-G83</f>
        <v>387.92999999999995</v>
      </c>
    </row>
    <row r="84" spans="1:8" ht="15" customHeight="1" x14ac:dyDescent="0.25">
      <c r="A84" s="512" t="s">
        <v>375</v>
      </c>
      <c r="B84" s="354" t="s">
        <v>381</v>
      </c>
      <c r="C84" s="355" t="s">
        <v>209</v>
      </c>
      <c r="D84" s="355" t="s">
        <v>177</v>
      </c>
      <c r="E84" s="4"/>
      <c r="F84" s="383">
        <v>465.52</v>
      </c>
      <c r="G84" s="6">
        <v>0</v>
      </c>
      <c r="H84" s="2">
        <f>F85-G84</f>
        <v>15</v>
      </c>
    </row>
    <row r="85" spans="1:8" ht="15" customHeight="1" x14ac:dyDescent="0.25">
      <c r="A85" s="512" t="s">
        <v>376</v>
      </c>
      <c r="B85" s="354" t="s">
        <v>378</v>
      </c>
      <c r="C85" s="355" t="s">
        <v>206</v>
      </c>
      <c r="D85" s="355" t="s">
        <v>379</v>
      </c>
      <c r="E85" s="4"/>
      <c r="F85" s="383">
        <v>15</v>
      </c>
      <c r="G85" s="6">
        <v>0</v>
      </c>
      <c r="H85" s="2">
        <f>F86-G85</f>
        <v>496.4</v>
      </c>
    </row>
    <row r="86" spans="1:8" ht="15" customHeight="1" x14ac:dyDescent="0.25">
      <c r="A86" s="512" t="s">
        <v>376</v>
      </c>
      <c r="B86" s="354" t="s">
        <v>373</v>
      </c>
      <c r="C86" s="355" t="s">
        <v>649</v>
      </c>
      <c r="D86" s="355" t="s">
        <v>377</v>
      </c>
      <c r="F86" s="383">
        <v>496.4</v>
      </c>
      <c r="G86" s="2">
        <v>0</v>
      </c>
      <c r="H86" s="2">
        <f>F88-G86</f>
        <v>0</v>
      </c>
    </row>
    <row r="87" spans="1:8" ht="15" customHeight="1" x14ac:dyDescent="0.25">
      <c r="A87" s="511" t="s">
        <v>380</v>
      </c>
      <c r="B87" s="47"/>
      <c r="C87" s="391" t="s">
        <v>281</v>
      </c>
      <c r="D87" s="391" t="s">
        <v>282</v>
      </c>
      <c r="E87" s="47">
        <v>66.14</v>
      </c>
      <c r="F87" s="383"/>
    </row>
    <row r="88" spans="1:8" ht="15" customHeight="1" x14ac:dyDescent="0.25">
      <c r="A88" s="518" t="s">
        <v>395</v>
      </c>
      <c r="B88" s="13" t="s">
        <v>413</v>
      </c>
      <c r="C88" s="15" t="s">
        <v>213</v>
      </c>
      <c r="D88" s="15" t="s">
        <v>214</v>
      </c>
      <c r="E88" s="4">
        <v>112</v>
      </c>
      <c r="F88" s="372"/>
      <c r="G88" s="6">
        <v>0</v>
      </c>
      <c r="H88" s="2">
        <f>F89-G88</f>
        <v>36</v>
      </c>
    </row>
    <row r="89" spans="1:8" ht="15" customHeight="1" x14ac:dyDescent="0.25">
      <c r="A89" s="518" t="s">
        <v>396</v>
      </c>
      <c r="B89" s="13"/>
      <c r="C89" s="15" t="s">
        <v>206</v>
      </c>
      <c r="D89" s="15" t="s">
        <v>414</v>
      </c>
      <c r="E89" s="4"/>
      <c r="F89" s="372">
        <v>36</v>
      </c>
      <c r="G89" s="47">
        <v>12</v>
      </c>
      <c r="H89" s="2">
        <f>F90-G89</f>
        <v>60</v>
      </c>
    </row>
    <row r="90" spans="1:8" ht="15" customHeight="1" x14ac:dyDescent="0.25">
      <c r="A90" s="518" t="s">
        <v>396</v>
      </c>
      <c r="B90" s="13" t="s">
        <v>415</v>
      </c>
      <c r="C90" s="15" t="s">
        <v>397</v>
      </c>
      <c r="D90" s="15" t="s">
        <v>398</v>
      </c>
      <c r="E90" s="4"/>
      <c r="F90" s="372">
        <v>72</v>
      </c>
      <c r="G90" s="47">
        <v>54.6</v>
      </c>
      <c r="H90" s="2">
        <f>F91-G90</f>
        <v>273</v>
      </c>
    </row>
    <row r="91" spans="1:8" s="379" customFormat="1" ht="15.75" customHeight="1" x14ac:dyDescent="0.25">
      <c r="A91" s="518" t="s">
        <v>396</v>
      </c>
      <c r="B91" s="13" t="s">
        <v>416</v>
      </c>
      <c r="C91" s="15" t="s">
        <v>651</v>
      </c>
      <c r="D91" s="15" t="s">
        <v>399</v>
      </c>
      <c r="E91" s="4"/>
      <c r="F91" s="372">
        <v>327.60000000000002</v>
      </c>
      <c r="G91" s="6">
        <v>0</v>
      </c>
      <c r="H91" s="2">
        <f>F92-G91</f>
        <v>19.690000000000001</v>
      </c>
    </row>
    <row r="92" spans="1:8" ht="15" customHeight="1" x14ac:dyDescent="0.25">
      <c r="A92" s="518" t="s">
        <v>396</v>
      </c>
      <c r="B92" s="354" t="s">
        <v>417</v>
      </c>
      <c r="C92" s="520" t="s">
        <v>649</v>
      </c>
      <c r="D92" s="520" t="s">
        <v>400</v>
      </c>
      <c r="E92" s="380"/>
      <c r="F92" s="381">
        <v>19.690000000000001</v>
      </c>
      <c r="G92" s="6">
        <v>0</v>
      </c>
      <c r="H92" s="2">
        <f>F93-G92</f>
        <v>73.5</v>
      </c>
    </row>
    <row r="93" spans="1:8" ht="15" customHeight="1" x14ac:dyDescent="0.25">
      <c r="A93" s="518" t="s">
        <v>396</v>
      </c>
      <c r="B93" s="354" t="s">
        <v>417</v>
      </c>
      <c r="C93" s="355" t="s">
        <v>649</v>
      </c>
      <c r="D93" s="355" t="s">
        <v>401</v>
      </c>
      <c r="F93" s="372">
        <v>73.5</v>
      </c>
      <c r="G93" s="6">
        <v>0</v>
      </c>
      <c r="H93" s="2">
        <f>F94-G93</f>
        <v>126.67</v>
      </c>
    </row>
    <row r="94" spans="1:8" ht="15" customHeight="1" x14ac:dyDescent="0.25">
      <c r="A94" s="512" t="s">
        <v>404</v>
      </c>
      <c r="B94" s="42" t="s">
        <v>417</v>
      </c>
      <c r="C94" s="355" t="s">
        <v>648</v>
      </c>
      <c r="D94" s="355" t="s">
        <v>402</v>
      </c>
      <c r="F94" s="372">
        <v>126.67</v>
      </c>
      <c r="H94" s="2">
        <f>F95-G94</f>
        <v>0</v>
      </c>
    </row>
    <row r="95" spans="1:8" ht="15" customHeight="1" x14ac:dyDescent="0.25">
      <c r="A95" s="512" t="s">
        <v>405</v>
      </c>
      <c r="C95" s="355" t="s">
        <v>651</v>
      </c>
      <c r="D95" s="355" t="s">
        <v>403</v>
      </c>
      <c r="E95" s="2">
        <v>6250</v>
      </c>
      <c r="F95" s="372"/>
      <c r="G95" s="47"/>
      <c r="H95" s="2">
        <f>F96-G95</f>
        <v>0</v>
      </c>
    </row>
    <row r="96" spans="1:8" ht="15" customHeight="1" x14ac:dyDescent="0.25">
      <c r="A96" s="512" t="s">
        <v>405</v>
      </c>
      <c r="B96" s="42">
        <v>2443</v>
      </c>
      <c r="C96" s="355" t="s">
        <v>187</v>
      </c>
      <c r="E96" s="2">
        <v>2026.26</v>
      </c>
      <c r="F96" s="372"/>
      <c r="G96" s="47"/>
      <c r="H96" s="2">
        <f>F97-G96</f>
        <v>0</v>
      </c>
    </row>
    <row r="97" spans="1:8" ht="15" customHeight="1" x14ac:dyDescent="0.25">
      <c r="A97" s="512" t="s">
        <v>406</v>
      </c>
      <c r="B97" s="42">
        <v>2444</v>
      </c>
      <c r="C97" s="355" t="s">
        <v>274</v>
      </c>
      <c r="D97" s="355" t="s">
        <v>214</v>
      </c>
      <c r="E97" s="2">
        <v>64</v>
      </c>
      <c r="F97" s="372"/>
      <c r="G97" s="47"/>
      <c r="H97" s="2">
        <f>F98-G97</f>
        <v>0</v>
      </c>
    </row>
    <row r="98" spans="1:8" ht="15" customHeight="1" x14ac:dyDescent="0.25">
      <c r="A98" s="512" t="s">
        <v>406</v>
      </c>
      <c r="B98" s="42">
        <v>2444</v>
      </c>
      <c r="C98" s="355" t="s">
        <v>274</v>
      </c>
      <c r="D98" s="355" t="s">
        <v>214</v>
      </c>
      <c r="E98" s="2">
        <v>80</v>
      </c>
      <c r="F98" s="372"/>
      <c r="G98" s="47"/>
      <c r="H98" s="2">
        <f>F99-G98</f>
        <v>0</v>
      </c>
    </row>
    <row r="99" spans="1:8" ht="15" customHeight="1" x14ac:dyDescent="0.25">
      <c r="A99" s="512" t="s">
        <v>406</v>
      </c>
      <c r="B99" s="42" t="s">
        <v>418</v>
      </c>
      <c r="C99" s="355" t="s">
        <v>326</v>
      </c>
      <c r="D99" s="355" t="s">
        <v>214</v>
      </c>
      <c r="E99" s="2">
        <v>32</v>
      </c>
      <c r="F99" s="372"/>
      <c r="G99" s="47"/>
      <c r="H99" s="2">
        <f>F100-G99</f>
        <v>0</v>
      </c>
    </row>
    <row r="100" spans="1:8" ht="15" customHeight="1" x14ac:dyDescent="0.25">
      <c r="A100" s="512" t="s">
        <v>406</v>
      </c>
      <c r="B100" s="42">
        <v>2445</v>
      </c>
      <c r="C100" s="355" t="s">
        <v>272</v>
      </c>
      <c r="D100" s="355" t="s">
        <v>419</v>
      </c>
      <c r="E100" s="2">
        <v>24</v>
      </c>
      <c r="F100" s="372"/>
      <c r="G100" s="47">
        <v>129.41</v>
      </c>
      <c r="H100" s="2">
        <f>F101-G100</f>
        <v>647.05000000000007</v>
      </c>
    </row>
    <row r="101" spans="1:8" ht="15" customHeight="1" x14ac:dyDescent="0.25">
      <c r="A101" s="512" t="s">
        <v>407</v>
      </c>
      <c r="B101" s="42" t="s">
        <v>420</v>
      </c>
      <c r="C101" s="355" t="s">
        <v>408</v>
      </c>
      <c r="D101" s="355" t="s">
        <v>177</v>
      </c>
      <c r="F101" s="372">
        <v>776.46</v>
      </c>
      <c r="G101" s="47">
        <v>8.82</v>
      </c>
      <c r="H101" s="2">
        <f>F102-G101</f>
        <v>44.089999999999996</v>
      </c>
    </row>
    <row r="102" spans="1:8" ht="15" customHeight="1" x14ac:dyDescent="0.25">
      <c r="A102" s="512" t="s">
        <v>409</v>
      </c>
      <c r="B102" s="42">
        <v>48222</v>
      </c>
      <c r="C102" s="355" t="s">
        <v>410</v>
      </c>
      <c r="D102" s="355" t="s">
        <v>411</v>
      </c>
      <c r="F102" s="372">
        <v>52.91</v>
      </c>
      <c r="G102" s="47">
        <v>0</v>
      </c>
      <c r="H102" s="2">
        <f>F103-G102</f>
        <v>20</v>
      </c>
    </row>
    <row r="103" spans="1:8" ht="15" customHeight="1" x14ac:dyDescent="0.25">
      <c r="A103" s="512" t="s">
        <v>412</v>
      </c>
      <c r="C103" s="355" t="s">
        <v>247</v>
      </c>
      <c r="D103" s="355" t="s">
        <v>421</v>
      </c>
      <c r="F103" s="372">
        <v>20</v>
      </c>
      <c r="G103" s="47">
        <v>0.83</v>
      </c>
      <c r="H103" s="2">
        <f>F104-G103</f>
        <v>4.16</v>
      </c>
    </row>
    <row r="104" spans="1:8" ht="15" customHeight="1" x14ac:dyDescent="0.25">
      <c r="A104" s="512" t="s">
        <v>423</v>
      </c>
      <c r="B104" s="42" t="s">
        <v>427</v>
      </c>
      <c r="C104" s="355" t="s">
        <v>247</v>
      </c>
      <c r="D104" s="355" t="s">
        <v>424</v>
      </c>
      <c r="F104" s="372">
        <v>4.99</v>
      </c>
      <c r="G104" s="47">
        <v>0</v>
      </c>
      <c r="H104" s="2">
        <f>F105-G104</f>
        <v>496.4</v>
      </c>
    </row>
    <row r="105" spans="1:8" ht="15" customHeight="1" x14ac:dyDescent="0.25">
      <c r="A105" s="512" t="s">
        <v>423</v>
      </c>
      <c r="C105" s="355" t="s">
        <v>649</v>
      </c>
      <c r="D105" s="355" t="s">
        <v>425</v>
      </c>
      <c r="F105" s="372">
        <v>496.4</v>
      </c>
      <c r="G105" s="47">
        <v>0</v>
      </c>
      <c r="H105" s="2">
        <f>F106-G105</f>
        <v>15</v>
      </c>
    </row>
    <row r="106" spans="1:8" ht="15" customHeight="1" x14ac:dyDescent="0.25">
      <c r="A106" s="512" t="s">
        <v>423</v>
      </c>
      <c r="C106" s="355" t="s">
        <v>206</v>
      </c>
      <c r="D106" s="355" t="s">
        <v>426</v>
      </c>
      <c r="F106" s="372">
        <v>15</v>
      </c>
      <c r="G106" s="47"/>
      <c r="H106" s="2">
        <f>F107-G106</f>
        <v>0</v>
      </c>
    </row>
    <row r="107" spans="1:8" ht="15" customHeight="1" x14ac:dyDescent="0.25">
      <c r="A107" s="512" t="s">
        <v>428</v>
      </c>
      <c r="C107" s="355" t="s">
        <v>651</v>
      </c>
      <c r="D107" s="355" t="s">
        <v>429</v>
      </c>
      <c r="E107" s="2">
        <v>220</v>
      </c>
      <c r="F107" s="372"/>
      <c r="G107" s="47"/>
      <c r="H107" s="2">
        <f>F108-G107</f>
        <v>28.71</v>
      </c>
    </row>
    <row r="108" spans="1:8" ht="15" customHeight="1" x14ac:dyDescent="0.25">
      <c r="A108" s="512" t="s">
        <v>430</v>
      </c>
      <c r="C108" s="355" t="s">
        <v>649</v>
      </c>
      <c r="D108" s="355" t="s">
        <v>431</v>
      </c>
      <c r="F108" s="372">
        <v>28.71</v>
      </c>
      <c r="G108" s="47"/>
      <c r="H108" s="2">
        <f>F109-G108</f>
        <v>20</v>
      </c>
    </row>
    <row r="109" spans="1:8" ht="15" customHeight="1" x14ac:dyDescent="0.25">
      <c r="A109" s="512" t="s">
        <v>430</v>
      </c>
      <c r="B109" s="42">
        <v>27</v>
      </c>
      <c r="C109" s="355" t="s">
        <v>432</v>
      </c>
      <c r="D109" s="355" t="s">
        <v>433</v>
      </c>
      <c r="F109" s="372">
        <v>20</v>
      </c>
      <c r="G109" s="47">
        <v>0.9</v>
      </c>
      <c r="H109" s="2">
        <f>F110-G109</f>
        <v>52</v>
      </c>
    </row>
    <row r="110" spans="1:8" ht="15" customHeight="1" x14ac:dyDescent="0.25">
      <c r="A110" s="512" t="s">
        <v>430</v>
      </c>
      <c r="B110" s="42" t="s">
        <v>444</v>
      </c>
      <c r="C110" s="355" t="s">
        <v>652</v>
      </c>
      <c r="D110" s="355" t="s">
        <v>434</v>
      </c>
      <c r="F110" s="372">
        <v>52.9</v>
      </c>
      <c r="G110" s="47">
        <v>36.67</v>
      </c>
      <c r="H110" s="2">
        <f>F111-G110</f>
        <v>183.32999999999998</v>
      </c>
    </row>
    <row r="111" spans="1:8" ht="15" customHeight="1" x14ac:dyDescent="0.25">
      <c r="A111" s="512" t="s">
        <v>430</v>
      </c>
      <c r="B111" s="42">
        <v>1000205864</v>
      </c>
      <c r="C111" s="355" t="s">
        <v>656</v>
      </c>
      <c r="D111" s="355" t="s">
        <v>436</v>
      </c>
      <c r="F111" s="372">
        <v>220</v>
      </c>
      <c r="G111" s="47"/>
      <c r="H111" s="2">
        <f>F112-G111</f>
        <v>0</v>
      </c>
    </row>
    <row r="112" spans="1:8" ht="15" customHeight="1" x14ac:dyDescent="0.25">
      <c r="A112" s="512" t="s">
        <v>430</v>
      </c>
      <c r="B112" s="42">
        <v>2451</v>
      </c>
      <c r="C112" s="355" t="s">
        <v>213</v>
      </c>
      <c r="D112" s="355" t="s">
        <v>214</v>
      </c>
      <c r="E112" s="2">
        <v>112</v>
      </c>
      <c r="F112" s="372"/>
      <c r="G112" s="47">
        <v>3.33</v>
      </c>
      <c r="H112" s="2">
        <f>F113-G112</f>
        <v>16.619999999999997</v>
      </c>
    </row>
    <row r="113" spans="1:8" ht="15" customHeight="1" x14ac:dyDescent="0.25">
      <c r="A113" s="512" t="s">
        <v>437</v>
      </c>
      <c r="B113" s="42" t="s">
        <v>445</v>
      </c>
      <c r="C113" s="355" t="s">
        <v>247</v>
      </c>
      <c r="D113" s="355" t="s">
        <v>438</v>
      </c>
      <c r="F113" s="372">
        <v>19.95</v>
      </c>
      <c r="G113" s="47">
        <v>0</v>
      </c>
      <c r="H113" s="2">
        <f>F116-G113</f>
        <v>220</v>
      </c>
    </row>
    <row r="114" spans="1:8" ht="15" customHeight="1" x14ac:dyDescent="0.25">
      <c r="A114" s="511" t="s">
        <v>439</v>
      </c>
      <c r="B114" s="12"/>
      <c r="C114" s="15" t="s">
        <v>295</v>
      </c>
      <c r="D114" s="15" t="s">
        <v>441</v>
      </c>
      <c r="E114" s="4">
        <v>220</v>
      </c>
      <c r="F114" s="372"/>
      <c r="G114" s="47"/>
    </row>
    <row r="115" spans="1:8" ht="15" customHeight="1" x14ac:dyDescent="0.25">
      <c r="A115" s="511" t="s">
        <v>439</v>
      </c>
      <c r="B115" s="12"/>
      <c r="C115" s="15" t="s">
        <v>295</v>
      </c>
      <c r="D115" s="15" t="s">
        <v>442</v>
      </c>
      <c r="E115" s="4"/>
      <c r="F115" s="372">
        <v>206</v>
      </c>
      <c r="G115" s="47"/>
    </row>
    <row r="116" spans="1:8" ht="15" customHeight="1" x14ac:dyDescent="0.25">
      <c r="A116" s="512" t="s">
        <v>439</v>
      </c>
      <c r="C116" s="355" t="s">
        <v>295</v>
      </c>
      <c r="D116" s="355" t="s">
        <v>440</v>
      </c>
      <c r="F116" s="372">
        <v>220</v>
      </c>
      <c r="G116" s="47"/>
      <c r="H116" s="2">
        <f>F117-G116</f>
        <v>0</v>
      </c>
    </row>
    <row r="117" spans="1:8" ht="15" customHeight="1" x14ac:dyDescent="0.25">
      <c r="A117" s="512" t="s">
        <v>439</v>
      </c>
      <c r="C117" s="355" t="s">
        <v>295</v>
      </c>
      <c r="D117" s="355" t="s">
        <v>442</v>
      </c>
      <c r="E117" s="2">
        <v>206</v>
      </c>
      <c r="F117" s="372"/>
      <c r="G117" s="47">
        <v>0</v>
      </c>
      <c r="H117" s="2">
        <f>F118-G117</f>
        <v>126.67</v>
      </c>
    </row>
    <row r="118" spans="1:8" ht="15" customHeight="1" x14ac:dyDescent="0.25">
      <c r="A118" s="512" t="s">
        <v>446</v>
      </c>
      <c r="C118" s="355" t="s">
        <v>648</v>
      </c>
      <c r="D118" s="355" t="s">
        <v>447</v>
      </c>
      <c r="F118" s="372">
        <v>126.67</v>
      </c>
      <c r="G118" s="47"/>
      <c r="H118" s="2">
        <f>F119-G118</f>
        <v>0</v>
      </c>
    </row>
    <row r="119" spans="1:8" ht="15" customHeight="1" x14ac:dyDescent="0.25">
      <c r="A119" s="512" t="s">
        <v>446</v>
      </c>
      <c r="B119" s="42">
        <v>2441</v>
      </c>
      <c r="C119" s="355" t="s">
        <v>448</v>
      </c>
      <c r="D119" s="355" t="s">
        <v>449</v>
      </c>
      <c r="E119" s="2">
        <v>32</v>
      </c>
      <c r="F119" s="372"/>
      <c r="G119" s="47">
        <v>4.42</v>
      </c>
      <c r="H119" s="2">
        <f>F120-G119</f>
        <v>22.07</v>
      </c>
    </row>
    <row r="120" spans="1:8" ht="15" customHeight="1" x14ac:dyDescent="0.25">
      <c r="A120" s="512" t="s">
        <v>450</v>
      </c>
      <c r="B120" s="42">
        <v>181072621</v>
      </c>
      <c r="C120" s="355" t="s">
        <v>247</v>
      </c>
      <c r="D120" s="355" t="s">
        <v>248</v>
      </c>
      <c r="F120" s="372">
        <v>26.49</v>
      </c>
      <c r="G120" s="47">
        <v>91.67</v>
      </c>
      <c r="H120" s="2">
        <f>F121-G120</f>
        <v>458.32</v>
      </c>
    </row>
    <row r="121" spans="1:8" ht="15" customHeight="1" x14ac:dyDescent="0.25">
      <c r="A121" s="512" t="s">
        <v>450</v>
      </c>
      <c r="B121" s="42" t="s">
        <v>455</v>
      </c>
      <c r="C121" s="355" t="s">
        <v>451</v>
      </c>
      <c r="D121" s="355" t="s">
        <v>452</v>
      </c>
      <c r="F121" s="372">
        <v>549.99</v>
      </c>
      <c r="G121" s="47">
        <v>0</v>
      </c>
      <c r="H121" s="2">
        <f>F122-G121</f>
        <v>2.6</v>
      </c>
    </row>
    <row r="122" spans="1:8" ht="15" customHeight="1" x14ac:dyDescent="0.25">
      <c r="A122" s="512" t="s">
        <v>453</v>
      </c>
      <c r="C122" s="355" t="s">
        <v>267</v>
      </c>
      <c r="D122" s="355" t="s">
        <v>454</v>
      </c>
      <c r="F122" s="372">
        <v>2.6</v>
      </c>
      <c r="G122" s="47"/>
      <c r="H122" s="2">
        <f>F123-G122</f>
        <v>0</v>
      </c>
    </row>
    <row r="123" spans="1:8" ht="15" customHeight="1" x14ac:dyDescent="0.25">
      <c r="A123" s="512" t="s">
        <v>453</v>
      </c>
      <c r="B123" s="42">
        <v>2449</v>
      </c>
      <c r="C123" s="355" t="s">
        <v>274</v>
      </c>
      <c r="D123" s="355" t="s">
        <v>214</v>
      </c>
      <c r="E123" s="2">
        <v>64</v>
      </c>
      <c r="F123" s="372"/>
      <c r="G123" s="47"/>
      <c r="H123" s="2">
        <f>F124-G123</f>
        <v>0</v>
      </c>
    </row>
    <row r="124" spans="1:8" ht="15" customHeight="1" x14ac:dyDescent="0.25">
      <c r="A124" s="512" t="s">
        <v>458</v>
      </c>
      <c r="C124" s="355" t="s">
        <v>295</v>
      </c>
      <c r="D124" s="355" t="s">
        <v>459</v>
      </c>
      <c r="E124" s="2">
        <v>680.32</v>
      </c>
      <c r="F124" s="372"/>
      <c r="G124" s="47">
        <v>2.4</v>
      </c>
      <c r="H124" s="2">
        <f>F126-G124</f>
        <v>222</v>
      </c>
    </row>
    <row r="125" spans="1:8" ht="15" customHeight="1" x14ac:dyDescent="0.25">
      <c r="A125" s="511" t="s">
        <v>456</v>
      </c>
      <c r="B125" s="12"/>
      <c r="C125" s="15" t="s">
        <v>295</v>
      </c>
      <c r="D125" s="15" t="s">
        <v>457</v>
      </c>
      <c r="E125" s="4"/>
      <c r="F125" s="372">
        <v>680.32</v>
      </c>
      <c r="G125" s="47"/>
    </row>
    <row r="126" spans="1:8" ht="15" customHeight="1" x14ac:dyDescent="0.25">
      <c r="A126" s="512" t="s">
        <v>456</v>
      </c>
      <c r="B126" s="42">
        <v>2122</v>
      </c>
      <c r="C126" s="355" t="s">
        <v>655</v>
      </c>
      <c r="D126" s="355" t="s">
        <v>470</v>
      </c>
      <c r="F126" s="372">
        <v>224.4</v>
      </c>
      <c r="G126" s="47">
        <v>0</v>
      </c>
      <c r="H126" s="2">
        <f>F127-G126</f>
        <v>87.92</v>
      </c>
    </row>
    <row r="127" spans="1:8" ht="15" customHeight="1" x14ac:dyDescent="0.25">
      <c r="A127" s="512" t="s">
        <v>456</v>
      </c>
      <c r="B127" s="42">
        <v>2121</v>
      </c>
      <c r="C127" s="355" t="s">
        <v>655</v>
      </c>
      <c r="D127" s="355" t="s">
        <v>194</v>
      </c>
      <c r="F127" s="372">
        <v>87.92</v>
      </c>
      <c r="G127" s="47"/>
      <c r="H127" s="2">
        <f>F128-G127</f>
        <v>91.88</v>
      </c>
    </row>
    <row r="128" spans="1:8" ht="15" customHeight="1" x14ac:dyDescent="0.25">
      <c r="A128" s="512" t="s">
        <v>471</v>
      </c>
      <c r="C128" s="355" t="s">
        <v>649</v>
      </c>
      <c r="D128" s="355" t="s">
        <v>472</v>
      </c>
      <c r="F128" s="372">
        <v>91.88</v>
      </c>
      <c r="G128" s="47"/>
      <c r="H128" s="2">
        <f>F129-G128</f>
        <v>496.4</v>
      </c>
    </row>
    <row r="129" spans="1:8" ht="15" customHeight="1" x14ac:dyDescent="0.25">
      <c r="A129" s="512" t="s">
        <v>471</v>
      </c>
      <c r="C129" s="355" t="s">
        <v>649</v>
      </c>
      <c r="D129" s="355" t="s">
        <v>473</v>
      </c>
      <c r="F129" s="372">
        <v>496.4</v>
      </c>
      <c r="G129" s="47"/>
      <c r="H129" s="2">
        <f>F130-G129</f>
        <v>15</v>
      </c>
    </row>
    <row r="130" spans="1:8" ht="15" customHeight="1" x14ac:dyDescent="0.25">
      <c r="A130" s="512" t="s">
        <v>471</v>
      </c>
      <c r="C130" s="355" t="s">
        <v>206</v>
      </c>
      <c r="D130" s="355" t="s">
        <v>474</v>
      </c>
      <c r="F130" s="372">
        <v>15</v>
      </c>
      <c r="G130" s="47"/>
      <c r="H130" s="2">
        <f>F131-G130</f>
        <v>0</v>
      </c>
    </row>
    <row r="131" spans="1:8" ht="15" customHeight="1" x14ac:dyDescent="0.25">
      <c r="A131" s="512" t="s">
        <v>471</v>
      </c>
      <c r="B131" s="42">
        <v>2450</v>
      </c>
      <c r="C131" s="355" t="s">
        <v>298</v>
      </c>
      <c r="D131" s="355" t="s">
        <v>214</v>
      </c>
      <c r="E131" s="2">
        <v>48</v>
      </c>
      <c r="F131" s="372"/>
      <c r="G131" s="47"/>
      <c r="H131" s="2">
        <f>F132-G131</f>
        <v>0</v>
      </c>
    </row>
    <row r="132" spans="1:8" ht="15" customHeight="1" x14ac:dyDescent="0.25">
      <c r="A132" s="512" t="s">
        <v>479</v>
      </c>
      <c r="B132" s="42">
        <v>2439</v>
      </c>
      <c r="C132" s="355" t="s">
        <v>321</v>
      </c>
      <c r="D132" s="355" t="s">
        <v>214</v>
      </c>
      <c r="E132" s="2">
        <v>16</v>
      </c>
      <c r="F132" s="372"/>
      <c r="G132" s="47"/>
      <c r="H132" s="2">
        <f>F133-G132</f>
        <v>0</v>
      </c>
    </row>
    <row r="133" spans="1:8" ht="15" customHeight="1" x14ac:dyDescent="0.25">
      <c r="A133" s="512" t="s">
        <v>480</v>
      </c>
      <c r="B133" s="42">
        <v>2456</v>
      </c>
      <c r="C133" s="355" t="s">
        <v>213</v>
      </c>
      <c r="D133" s="355" t="s">
        <v>214</v>
      </c>
      <c r="E133" s="2">
        <v>112</v>
      </c>
      <c r="F133" s="372"/>
      <c r="G133" s="47"/>
      <c r="H133" s="2">
        <f>F134-G133</f>
        <v>28.71</v>
      </c>
    </row>
    <row r="134" spans="1:8" ht="15" customHeight="1" x14ac:dyDescent="0.25">
      <c r="A134" s="512" t="s">
        <v>500</v>
      </c>
      <c r="C134" s="355" t="s">
        <v>649</v>
      </c>
      <c r="D134" s="355" t="s">
        <v>482</v>
      </c>
      <c r="F134" s="372">
        <v>28.71</v>
      </c>
      <c r="G134" s="47"/>
      <c r="H134" s="2">
        <f>F135-G134</f>
        <v>148.21</v>
      </c>
    </row>
    <row r="135" spans="1:8" ht="15" customHeight="1" x14ac:dyDescent="0.25">
      <c r="A135" s="512" t="s">
        <v>500</v>
      </c>
      <c r="C135" s="355" t="s">
        <v>649</v>
      </c>
      <c r="D135" s="355" t="s">
        <v>483</v>
      </c>
      <c r="F135" s="372">
        <v>148.21</v>
      </c>
      <c r="G135" s="47">
        <v>2.33</v>
      </c>
      <c r="H135" s="2">
        <f>F136-G135</f>
        <v>132.66</v>
      </c>
    </row>
    <row r="136" spans="1:8" ht="15" customHeight="1" x14ac:dyDescent="0.25">
      <c r="A136" s="512" t="s">
        <v>500</v>
      </c>
      <c r="C136" s="355" t="s">
        <v>206</v>
      </c>
      <c r="D136" s="355" t="s">
        <v>484</v>
      </c>
      <c r="F136" s="372">
        <v>134.99</v>
      </c>
      <c r="G136" s="47"/>
      <c r="H136" s="2">
        <f>F137-G136</f>
        <v>12.99</v>
      </c>
    </row>
    <row r="137" spans="1:8" ht="15" customHeight="1" x14ac:dyDescent="0.25">
      <c r="A137" s="512" t="s">
        <v>500</v>
      </c>
      <c r="C137" s="355" t="s">
        <v>648</v>
      </c>
      <c r="D137" s="355" t="s">
        <v>483</v>
      </c>
      <c r="F137" s="372">
        <v>12.99</v>
      </c>
      <c r="G137" s="47"/>
      <c r="H137" s="2">
        <f>F138-G137</f>
        <v>95</v>
      </c>
    </row>
    <row r="138" spans="1:8" ht="15" customHeight="1" x14ac:dyDescent="0.25">
      <c r="A138" s="512" t="s">
        <v>500</v>
      </c>
      <c r="B138" s="42">
        <v>2406</v>
      </c>
      <c r="C138" s="355" t="s">
        <v>654</v>
      </c>
      <c r="D138" s="355" t="s">
        <v>285</v>
      </c>
      <c r="F138" s="372">
        <v>95</v>
      </c>
      <c r="G138" s="47"/>
      <c r="H138" s="2">
        <f>F139-G138</f>
        <v>18.670000000000002</v>
      </c>
    </row>
    <row r="139" spans="1:8" ht="15" customHeight="1" x14ac:dyDescent="0.25">
      <c r="A139" s="512" t="s">
        <v>500</v>
      </c>
      <c r="B139" s="42">
        <v>2405</v>
      </c>
      <c r="C139" s="355" t="s">
        <v>269</v>
      </c>
      <c r="D139" s="355" t="s">
        <v>485</v>
      </c>
      <c r="F139" s="372">
        <v>18.670000000000002</v>
      </c>
      <c r="G139" s="47"/>
      <c r="H139" s="2">
        <f>F140-G139</f>
        <v>46</v>
      </c>
    </row>
    <row r="140" spans="1:8" ht="15" customHeight="1" x14ac:dyDescent="0.25">
      <c r="A140" s="512" t="s">
        <v>500</v>
      </c>
      <c r="B140" s="42">
        <v>52299</v>
      </c>
      <c r="C140" s="355" t="s">
        <v>486</v>
      </c>
      <c r="D140" s="355" t="s">
        <v>290</v>
      </c>
      <c r="F140" s="372">
        <v>46</v>
      </c>
      <c r="G140" s="47">
        <v>33.61</v>
      </c>
      <c r="H140" s="2">
        <f>F141-G140</f>
        <v>168.02999999999997</v>
      </c>
    </row>
    <row r="141" spans="1:8" ht="15" customHeight="1" x14ac:dyDescent="0.25">
      <c r="A141" s="512" t="s">
        <v>500</v>
      </c>
      <c r="B141" s="42" t="s">
        <v>501</v>
      </c>
      <c r="C141" s="355" t="s">
        <v>487</v>
      </c>
      <c r="D141" s="355" t="s">
        <v>488</v>
      </c>
      <c r="F141" s="372">
        <v>201.64</v>
      </c>
      <c r="G141" s="47">
        <v>42</v>
      </c>
      <c r="H141" s="2">
        <f>F142-G141</f>
        <v>210</v>
      </c>
    </row>
    <row r="142" spans="1:8" ht="15" customHeight="1" x14ac:dyDescent="0.25">
      <c r="A142" s="512" t="s">
        <v>500</v>
      </c>
      <c r="B142" s="42" t="s">
        <v>502</v>
      </c>
      <c r="C142" s="355" t="s">
        <v>489</v>
      </c>
      <c r="D142" s="355" t="s">
        <v>64</v>
      </c>
      <c r="F142" s="372">
        <v>252</v>
      </c>
      <c r="G142" s="47">
        <v>1.46</v>
      </c>
      <c r="H142" s="2">
        <f>F143-G142</f>
        <v>7.3</v>
      </c>
    </row>
    <row r="143" spans="1:8" ht="15" customHeight="1" x14ac:dyDescent="0.25">
      <c r="A143" s="512" t="s">
        <v>500</v>
      </c>
      <c r="B143" s="42">
        <v>48532</v>
      </c>
      <c r="C143" s="355" t="s">
        <v>410</v>
      </c>
      <c r="D143" s="355" t="s">
        <v>490</v>
      </c>
      <c r="F143" s="372">
        <v>8.76</v>
      </c>
      <c r="G143" s="47">
        <v>12</v>
      </c>
      <c r="H143" s="2">
        <f>F144-G143</f>
        <v>60</v>
      </c>
    </row>
    <row r="144" spans="1:8" ht="15" customHeight="1" x14ac:dyDescent="0.25">
      <c r="A144" s="512" t="s">
        <v>500</v>
      </c>
      <c r="B144" s="42">
        <v>9576</v>
      </c>
      <c r="C144" s="355" t="s">
        <v>491</v>
      </c>
      <c r="D144" s="355" t="s">
        <v>492</v>
      </c>
      <c r="F144" s="372">
        <v>72</v>
      </c>
      <c r="G144" s="47">
        <v>17</v>
      </c>
      <c r="H144" s="2">
        <f>F145-G144</f>
        <v>85</v>
      </c>
    </row>
    <row r="145" spans="1:8" ht="15" customHeight="1" x14ac:dyDescent="0.25">
      <c r="A145" s="512" t="s">
        <v>500</v>
      </c>
      <c r="B145" s="42">
        <v>16270</v>
      </c>
      <c r="C145" s="355" t="s">
        <v>493</v>
      </c>
      <c r="D145" s="355" t="s">
        <v>494</v>
      </c>
      <c r="F145" s="372">
        <v>102</v>
      </c>
      <c r="G145" s="47"/>
      <c r="H145" s="2">
        <f>F146-G145</f>
        <v>60</v>
      </c>
    </row>
    <row r="146" spans="1:8" ht="15" customHeight="1" x14ac:dyDescent="0.25">
      <c r="A146" s="512" t="s">
        <v>500</v>
      </c>
      <c r="B146" s="42">
        <v>21092</v>
      </c>
      <c r="C146" s="355" t="s">
        <v>193</v>
      </c>
      <c r="D146" s="355" t="s">
        <v>495</v>
      </c>
      <c r="F146" s="372">
        <v>60</v>
      </c>
      <c r="G146" s="47"/>
      <c r="H146" s="2">
        <f>F147-G146</f>
        <v>126.67</v>
      </c>
    </row>
    <row r="147" spans="1:8" ht="15" customHeight="1" x14ac:dyDescent="0.25">
      <c r="A147" s="512" t="s">
        <v>497</v>
      </c>
      <c r="C147" s="355" t="s">
        <v>648</v>
      </c>
      <c r="D147" s="355" t="s">
        <v>496</v>
      </c>
      <c r="F147" s="372">
        <v>126.67</v>
      </c>
      <c r="G147" s="47"/>
      <c r="H147" s="2">
        <f>F148-G147</f>
        <v>13.2</v>
      </c>
    </row>
    <row r="148" spans="1:8" ht="15" customHeight="1" x14ac:dyDescent="0.25">
      <c r="A148" s="512" t="s">
        <v>498</v>
      </c>
      <c r="C148" s="355" t="s">
        <v>267</v>
      </c>
      <c r="D148" s="355" t="s">
        <v>268</v>
      </c>
      <c r="F148" s="372">
        <v>13.2</v>
      </c>
      <c r="G148" s="47"/>
      <c r="H148" s="2">
        <f>F149-G148</f>
        <v>0</v>
      </c>
    </row>
    <row r="149" spans="1:8" ht="15" customHeight="1" x14ac:dyDescent="0.25">
      <c r="A149" s="512" t="s">
        <v>498</v>
      </c>
      <c r="B149" s="42">
        <v>2453</v>
      </c>
      <c r="C149" s="355" t="s">
        <v>274</v>
      </c>
      <c r="D149" s="355" t="s">
        <v>214</v>
      </c>
      <c r="E149" s="2">
        <v>32</v>
      </c>
      <c r="F149" s="372"/>
      <c r="G149" s="47">
        <v>120.01</v>
      </c>
      <c r="H149" s="2">
        <f>F150-G149</f>
        <v>499.06000000000006</v>
      </c>
    </row>
    <row r="150" spans="1:8" ht="15" customHeight="1" x14ac:dyDescent="0.25">
      <c r="A150" s="512" t="s">
        <v>499</v>
      </c>
      <c r="B150" s="42" t="s">
        <v>503</v>
      </c>
      <c r="C150" s="355" t="s">
        <v>209</v>
      </c>
      <c r="D150" s="355" t="s">
        <v>177</v>
      </c>
      <c r="F150" s="372">
        <v>619.07000000000005</v>
      </c>
      <c r="G150" s="47">
        <v>1.75</v>
      </c>
      <c r="H150" s="2">
        <f>F151-G150</f>
        <v>8.74</v>
      </c>
    </row>
    <row r="151" spans="1:8" ht="15" customHeight="1" x14ac:dyDescent="0.25">
      <c r="A151" s="512" t="s">
        <v>504</v>
      </c>
      <c r="B151" s="42">
        <v>213951389</v>
      </c>
      <c r="C151" s="355" t="s">
        <v>247</v>
      </c>
      <c r="D151" s="355" t="s">
        <v>505</v>
      </c>
      <c r="F151" s="372">
        <v>10.49</v>
      </c>
      <c r="G151" s="47"/>
      <c r="H151" s="2">
        <f>F152-G151</f>
        <v>0</v>
      </c>
    </row>
    <row r="152" spans="1:8" ht="15" customHeight="1" x14ac:dyDescent="0.25">
      <c r="A152" s="512" t="s">
        <v>504</v>
      </c>
      <c r="B152" s="42">
        <v>2454</v>
      </c>
      <c r="C152" s="355" t="s">
        <v>298</v>
      </c>
      <c r="D152" s="355" t="s">
        <v>214</v>
      </c>
      <c r="E152" s="2">
        <v>60</v>
      </c>
      <c r="F152" s="372"/>
      <c r="G152" s="47"/>
      <c r="H152" s="2">
        <f>F153-G152</f>
        <v>76.650000000000006</v>
      </c>
    </row>
    <row r="153" spans="1:8" ht="15" customHeight="1" x14ac:dyDescent="0.25">
      <c r="A153" s="512" t="s">
        <v>514</v>
      </c>
      <c r="C153" s="355" t="s">
        <v>649</v>
      </c>
      <c r="D153" s="355" t="s">
        <v>515</v>
      </c>
      <c r="F153" s="372">
        <v>76.650000000000006</v>
      </c>
      <c r="G153" s="47"/>
      <c r="H153" s="2">
        <f>F154-G153</f>
        <v>516.55999999999995</v>
      </c>
    </row>
    <row r="154" spans="1:8" ht="15" customHeight="1" x14ac:dyDescent="0.25">
      <c r="A154" s="512" t="s">
        <v>514</v>
      </c>
      <c r="C154" s="355" t="s">
        <v>649</v>
      </c>
      <c r="D154" s="355" t="s">
        <v>516</v>
      </c>
      <c r="F154" s="372">
        <v>516.55999999999995</v>
      </c>
      <c r="G154" s="47"/>
      <c r="H154" s="2">
        <f>F155-G154</f>
        <v>15</v>
      </c>
    </row>
    <row r="155" spans="1:8" ht="15" customHeight="1" x14ac:dyDescent="0.25">
      <c r="A155" s="512" t="s">
        <v>514</v>
      </c>
      <c r="C155" s="355" t="s">
        <v>206</v>
      </c>
      <c r="D155" s="355" t="s">
        <v>494</v>
      </c>
      <c r="F155" s="372">
        <v>15</v>
      </c>
      <c r="G155" s="47"/>
      <c r="H155" s="2">
        <f>F156-G155</f>
        <v>0</v>
      </c>
    </row>
    <row r="156" spans="1:8" ht="15" customHeight="1" x14ac:dyDescent="0.25">
      <c r="A156" s="512" t="s">
        <v>517</v>
      </c>
      <c r="B156" s="42">
        <v>2452</v>
      </c>
      <c r="C156" s="355" t="s">
        <v>518</v>
      </c>
      <c r="D156" s="355" t="s">
        <v>519</v>
      </c>
      <c r="E156" s="2">
        <v>1745.36</v>
      </c>
      <c r="F156" s="372"/>
      <c r="G156" s="47"/>
      <c r="H156" s="2">
        <f>F158-G156</f>
        <v>0</v>
      </c>
    </row>
    <row r="157" spans="1:8" ht="15" customHeight="1" x14ac:dyDescent="0.25">
      <c r="A157" s="511" t="s">
        <v>520</v>
      </c>
      <c r="B157" s="12"/>
      <c r="C157" s="15" t="s">
        <v>281</v>
      </c>
      <c r="D157" s="15" t="s">
        <v>282</v>
      </c>
      <c r="E157" s="4">
        <v>64.64</v>
      </c>
      <c r="F157" s="372"/>
      <c r="G157" s="47"/>
    </row>
    <row r="158" spans="1:8" ht="15" customHeight="1" x14ac:dyDescent="0.25">
      <c r="A158" s="512" t="s">
        <v>520</v>
      </c>
      <c r="B158" s="42">
        <v>2455</v>
      </c>
      <c r="C158" s="355" t="s">
        <v>326</v>
      </c>
      <c r="D158" s="355" t="s">
        <v>214</v>
      </c>
      <c r="E158" s="2">
        <v>16</v>
      </c>
      <c r="F158" s="372"/>
      <c r="G158" s="47"/>
      <c r="H158" s="2">
        <f>F159-G158</f>
        <v>0</v>
      </c>
    </row>
    <row r="159" spans="1:8" ht="15" customHeight="1" x14ac:dyDescent="0.25">
      <c r="A159" s="512" t="s">
        <v>524</v>
      </c>
      <c r="B159" s="42">
        <v>2457</v>
      </c>
      <c r="C159" s="355" t="s">
        <v>448</v>
      </c>
      <c r="D159" s="355" t="s">
        <v>214</v>
      </c>
      <c r="E159" s="2">
        <v>44</v>
      </c>
      <c r="F159" s="372"/>
      <c r="G159" s="47"/>
      <c r="H159" s="2">
        <f>F160-G159</f>
        <v>22.2</v>
      </c>
    </row>
    <row r="160" spans="1:8" ht="15" customHeight="1" x14ac:dyDescent="0.25">
      <c r="A160" s="512" t="s">
        <v>525</v>
      </c>
      <c r="C160" s="355" t="s">
        <v>79</v>
      </c>
      <c r="D160" s="355" t="s">
        <v>526</v>
      </c>
      <c r="F160" s="372">
        <v>22.2</v>
      </c>
      <c r="G160" s="47"/>
      <c r="H160" s="2">
        <f>F161-G160</f>
        <v>18.36</v>
      </c>
    </row>
    <row r="161" spans="1:8" ht="15" customHeight="1" x14ac:dyDescent="0.25">
      <c r="A161" s="512" t="s">
        <v>525</v>
      </c>
      <c r="C161" s="355" t="s">
        <v>649</v>
      </c>
      <c r="D161" s="355" t="s">
        <v>527</v>
      </c>
      <c r="F161" s="372">
        <v>18.36</v>
      </c>
      <c r="G161" s="47"/>
      <c r="H161" s="2">
        <f>F162-G161</f>
        <v>126.67</v>
      </c>
    </row>
    <row r="162" spans="1:8" s="379" customFormat="1" ht="30" customHeight="1" x14ac:dyDescent="0.25">
      <c r="A162" s="512" t="s">
        <v>528</v>
      </c>
      <c r="B162" s="42"/>
      <c r="C162" s="355" t="s">
        <v>648</v>
      </c>
      <c r="D162" s="355" t="s">
        <v>529</v>
      </c>
      <c r="E162" s="2"/>
      <c r="F162" s="372">
        <v>126.67</v>
      </c>
      <c r="G162" s="432">
        <v>19.420000000000002</v>
      </c>
      <c r="H162" s="380">
        <f>F163-G162</f>
        <v>97.06</v>
      </c>
    </row>
    <row r="163" spans="1:8" ht="15" customHeight="1" x14ac:dyDescent="0.25">
      <c r="A163" s="430" t="s">
        <v>533</v>
      </c>
      <c r="B163" s="354">
        <v>10876</v>
      </c>
      <c r="C163" s="520" t="s">
        <v>247</v>
      </c>
      <c r="D163" s="520" t="s">
        <v>530</v>
      </c>
      <c r="E163" s="380"/>
      <c r="F163" s="381">
        <v>116.48</v>
      </c>
      <c r="G163" s="47">
        <v>24.24</v>
      </c>
      <c r="H163" s="2">
        <f>F164-G163</f>
        <v>121.24</v>
      </c>
    </row>
    <row r="164" spans="1:8" ht="15" customHeight="1" x14ac:dyDescent="0.25">
      <c r="A164" s="512" t="s">
        <v>533</v>
      </c>
      <c r="B164" s="42">
        <v>213838</v>
      </c>
      <c r="C164" s="355" t="s">
        <v>531</v>
      </c>
      <c r="D164" s="355" t="s">
        <v>532</v>
      </c>
      <c r="F164" s="372">
        <v>145.47999999999999</v>
      </c>
      <c r="G164" s="47"/>
      <c r="H164" s="2">
        <f>F165-G164</f>
        <v>0</v>
      </c>
    </row>
    <row r="165" spans="1:8" ht="15" customHeight="1" x14ac:dyDescent="0.25">
      <c r="A165" s="512" t="s">
        <v>533</v>
      </c>
      <c r="B165" s="42">
        <v>2458</v>
      </c>
      <c r="C165" s="355" t="s">
        <v>274</v>
      </c>
      <c r="D165" s="355" t="s">
        <v>214</v>
      </c>
      <c r="E165" s="2">
        <v>64</v>
      </c>
      <c r="F165" s="372"/>
      <c r="G165" s="47"/>
      <c r="H165" s="2">
        <f>F166-G165</f>
        <v>0</v>
      </c>
    </row>
    <row r="166" spans="1:8" ht="15" customHeight="1" x14ac:dyDescent="0.25">
      <c r="A166" s="512" t="s">
        <v>533</v>
      </c>
      <c r="B166" s="42">
        <v>2459</v>
      </c>
      <c r="C166" s="355" t="s">
        <v>326</v>
      </c>
      <c r="D166" s="355" t="s">
        <v>214</v>
      </c>
      <c r="E166" s="2">
        <v>16</v>
      </c>
      <c r="F166" s="372"/>
      <c r="G166" s="47">
        <v>217.17</v>
      </c>
      <c r="H166" s="2">
        <f>F167-G166</f>
        <v>1085.8399999999999</v>
      </c>
    </row>
    <row r="167" spans="1:8" ht="15" customHeight="1" x14ac:dyDescent="0.25">
      <c r="A167" s="512" t="s">
        <v>534</v>
      </c>
      <c r="B167" s="42" t="s">
        <v>543</v>
      </c>
      <c r="C167" s="355" t="s">
        <v>209</v>
      </c>
      <c r="D167" s="355" t="s">
        <v>177</v>
      </c>
      <c r="F167" s="372">
        <v>1303.01</v>
      </c>
      <c r="G167" s="47"/>
      <c r="H167" s="2">
        <f>F168-G167</f>
        <v>0</v>
      </c>
    </row>
    <row r="168" spans="1:8" ht="15" customHeight="1" x14ac:dyDescent="0.25">
      <c r="A168" s="512" t="s">
        <v>535</v>
      </c>
      <c r="C168" s="355" t="s">
        <v>79</v>
      </c>
      <c r="D168" s="355" t="s">
        <v>536</v>
      </c>
      <c r="E168" s="2">
        <v>581.71</v>
      </c>
      <c r="F168" s="372"/>
      <c r="G168" s="47"/>
      <c r="H168" s="2">
        <f>F169-G168</f>
        <v>95.81</v>
      </c>
    </row>
    <row r="169" spans="1:8" ht="15" customHeight="1" x14ac:dyDescent="0.25">
      <c r="A169" s="512" t="s">
        <v>537</v>
      </c>
      <c r="C169" s="355" t="s">
        <v>649</v>
      </c>
      <c r="D169" s="355" t="s">
        <v>538</v>
      </c>
      <c r="F169" s="372">
        <v>95.81</v>
      </c>
      <c r="G169" s="47"/>
      <c r="H169" s="2">
        <f>F170-G169</f>
        <v>516.55999999999995</v>
      </c>
    </row>
    <row r="170" spans="1:8" ht="15" customHeight="1" x14ac:dyDescent="0.25">
      <c r="A170" s="512" t="s">
        <v>537</v>
      </c>
      <c r="C170" s="355" t="s">
        <v>649</v>
      </c>
      <c r="D170" s="355" t="s">
        <v>539</v>
      </c>
      <c r="F170" s="372">
        <v>516.55999999999995</v>
      </c>
      <c r="G170" s="47"/>
      <c r="H170" s="2">
        <f>F171-G170</f>
        <v>15</v>
      </c>
    </row>
    <row r="171" spans="1:8" ht="15" customHeight="1" x14ac:dyDescent="0.25">
      <c r="A171" s="512" t="s">
        <v>537</v>
      </c>
      <c r="C171" s="355" t="s">
        <v>206</v>
      </c>
      <c r="D171" s="355" t="s">
        <v>494</v>
      </c>
      <c r="F171" s="372">
        <v>15</v>
      </c>
      <c r="G171" s="47"/>
      <c r="H171" s="2">
        <f>F172-G171</f>
        <v>0</v>
      </c>
    </row>
    <row r="172" spans="1:8" ht="15" customHeight="1" x14ac:dyDescent="0.25">
      <c r="A172" s="512" t="s">
        <v>537</v>
      </c>
      <c r="C172" s="355" t="s">
        <v>649</v>
      </c>
      <c r="D172" s="355" t="s">
        <v>526</v>
      </c>
      <c r="E172" s="2">
        <v>22.2</v>
      </c>
      <c r="F172" s="372"/>
      <c r="G172" s="47">
        <v>10</v>
      </c>
      <c r="H172" s="2">
        <f>F173-G172</f>
        <v>49.99</v>
      </c>
    </row>
    <row r="173" spans="1:8" ht="15" customHeight="1" x14ac:dyDescent="0.25">
      <c r="A173" s="512" t="s">
        <v>540</v>
      </c>
      <c r="B173" s="42">
        <v>8200</v>
      </c>
      <c r="C173" s="355" t="s">
        <v>541</v>
      </c>
      <c r="D173" s="355" t="s">
        <v>542</v>
      </c>
      <c r="F173" s="372">
        <v>59.99</v>
      </c>
      <c r="G173" s="47"/>
      <c r="H173" s="2">
        <f>F174-G173</f>
        <v>0</v>
      </c>
    </row>
    <row r="174" spans="1:8" ht="15" customHeight="1" x14ac:dyDescent="0.25">
      <c r="A174" s="512" t="s">
        <v>544</v>
      </c>
      <c r="B174" s="42">
        <v>2460</v>
      </c>
      <c r="C174" s="355" t="s">
        <v>545</v>
      </c>
      <c r="D174" s="355" t="s">
        <v>214</v>
      </c>
      <c r="E174" s="2">
        <v>40</v>
      </c>
      <c r="F174" s="372"/>
      <c r="G174" s="47"/>
      <c r="H174" s="2">
        <f>F175-G174</f>
        <v>126.67</v>
      </c>
    </row>
    <row r="175" spans="1:8" ht="15" customHeight="1" x14ac:dyDescent="0.25">
      <c r="A175" s="512" t="s">
        <v>546</v>
      </c>
      <c r="C175" s="355" t="s">
        <v>648</v>
      </c>
      <c r="D175" s="355" t="s">
        <v>547</v>
      </c>
      <c r="F175" s="372">
        <v>126.67</v>
      </c>
      <c r="G175" s="47"/>
      <c r="H175" s="2">
        <f>F176-G175</f>
        <v>4.33</v>
      </c>
    </row>
    <row r="176" spans="1:8" ht="15" customHeight="1" x14ac:dyDescent="0.25">
      <c r="A176" s="512" t="s">
        <v>546</v>
      </c>
      <c r="C176" s="355" t="s">
        <v>648</v>
      </c>
      <c r="D176" s="355" t="s">
        <v>548</v>
      </c>
      <c r="F176" s="372">
        <v>4.33</v>
      </c>
      <c r="G176" s="47">
        <v>0.75</v>
      </c>
      <c r="H176" s="2">
        <f>F177-G176</f>
        <v>123.25</v>
      </c>
    </row>
    <row r="177" spans="1:8" ht="15" customHeight="1" x14ac:dyDescent="0.25">
      <c r="A177" s="512" t="s">
        <v>546</v>
      </c>
      <c r="C177" s="355" t="s">
        <v>206</v>
      </c>
      <c r="D177" s="355" t="s">
        <v>557</v>
      </c>
      <c r="F177" s="372">
        <v>124</v>
      </c>
      <c r="G177" s="47">
        <v>124.2</v>
      </c>
      <c r="H177" s="2">
        <f>F178-G177</f>
        <v>621</v>
      </c>
    </row>
    <row r="178" spans="1:8" ht="15" customHeight="1" x14ac:dyDescent="0.25">
      <c r="A178" s="512" t="s">
        <v>546</v>
      </c>
      <c r="B178" s="42">
        <v>7975</v>
      </c>
      <c r="C178" s="355" t="s">
        <v>549</v>
      </c>
      <c r="D178" s="355" t="s">
        <v>550</v>
      </c>
      <c r="F178" s="372">
        <v>745.2</v>
      </c>
      <c r="G178" s="47"/>
      <c r="H178" s="2">
        <f>F179-G178</f>
        <v>18.36</v>
      </c>
    </row>
    <row r="179" spans="1:8" ht="15" customHeight="1" x14ac:dyDescent="0.25">
      <c r="A179" s="512" t="s">
        <v>546</v>
      </c>
      <c r="C179" s="355" t="s">
        <v>649</v>
      </c>
      <c r="D179" s="355" t="s">
        <v>551</v>
      </c>
      <c r="F179" s="372">
        <v>18.36</v>
      </c>
      <c r="G179" s="47"/>
      <c r="H179" s="2">
        <f>F180-G179</f>
        <v>16.2</v>
      </c>
    </row>
    <row r="180" spans="1:8" ht="15" customHeight="1" x14ac:dyDescent="0.25">
      <c r="A180" s="512" t="s">
        <v>546</v>
      </c>
      <c r="C180" s="355" t="s">
        <v>79</v>
      </c>
      <c r="D180" s="355" t="s">
        <v>552</v>
      </c>
      <c r="F180" s="372">
        <v>16.2</v>
      </c>
      <c r="G180" s="47">
        <v>136.97</v>
      </c>
      <c r="H180" s="2">
        <f>F181-G180</f>
        <v>684.86</v>
      </c>
    </row>
    <row r="181" spans="1:8" ht="15" customHeight="1" x14ac:dyDescent="0.25">
      <c r="A181" s="512" t="s">
        <v>553</v>
      </c>
      <c r="B181" s="42" t="s">
        <v>556</v>
      </c>
      <c r="C181" s="355" t="s">
        <v>408</v>
      </c>
      <c r="D181" s="355" t="s">
        <v>177</v>
      </c>
      <c r="F181" s="372">
        <v>821.83</v>
      </c>
      <c r="G181" s="47"/>
      <c r="H181" s="2">
        <f>F182-G181</f>
        <v>0</v>
      </c>
    </row>
    <row r="182" spans="1:8" ht="15" customHeight="1" x14ac:dyDescent="0.25">
      <c r="A182" s="512" t="s">
        <v>554</v>
      </c>
      <c r="C182" s="355" t="s">
        <v>79</v>
      </c>
      <c r="D182" s="355" t="s">
        <v>558</v>
      </c>
      <c r="E182" s="2">
        <v>630.38</v>
      </c>
      <c r="F182" s="372"/>
      <c r="G182" s="47"/>
      <c r="H182" s="2">
        <f>F183-G182</f>
        <v>0</v>
      </c>
    </row>
    <row r="183" spans="1:8" ht="15" customHeight="1" x14ac:dyDescent="0.25">
      <c r="A183" s="514" t="s">
        <v>554</v>
      </c>
      <c r="B183" s="42">
        <v>2462</v>
      </c>
      <c r="C183" s="355" t="s">
        <v>555</v>
      </c>
      <c r="D183" s="355" t="s">
        <v>214</v>
      </c>
      <c r="E183" s="2">
        <v>20</v>
      </c>
      <c r="F183" s="372"/>
      <c r="G183" s="47"/>
      <c r="H183" s="2">
        <f>F184-G183</f>
        <v>76.650000000000006</v>
      </c>
    </row>
    <row r="184" spans="1:8" ht="15" customHeight="1" x14ac:dyDescent="0.25">
      <c r="A184" s="512" t="s">
        <v>563</v>
      </c>
      <c r="C184" s="355" t="s">
        <v>649</v>
      </c>
      <c r="D184" s="355" t="s">
        <v>564</v>
      </c>
      <c r="F184" s="372">
        <v>76.650000000000006</v>
      </c>
      <c r="G184" s="47"/>
      <c r="H184" s="2">
        <f>F185-G184</f>
        <v>516.55999999999995</v>
      </c>
    </row>
    <row r="185" spans="1:8" ht="15" customHeight="1" x14ac:dyDescent="0.25">
      <c r="A185" s="512" t="s">
        <v>563</v>
      </c>
      <c r="C185" s="355" t="s">
        <v>649</v>
      </c>
      <c r="D185" s="355" t="s">
        <v>565</v>
      </c>
      <c r="F185" s="372">
        <v>516.55999999999995</v>
      </c>
      <c r="G185" s="47"/>
      <c r="H185" s="2">
        <f>F186-G185</f>
        <v>15</v>
      </c>
    </row>
    <row r="186" spans="1:8" ht="15" customHeight="1" x14ac:dyDescent="0.25">
      <c r="A186" s="512" t="s">
        <v>563</v>
      </c>
      <c r="C186" s="355" t="s">
        <v>206</v>
      </c>
      <c r="D186" s="355" t="s">
        <v>566</v>
      </c>
      <c r="F186" s="372">
        <v>15</v>
      </c>
      <c r="G186" s="47"/>
      <c r="H186" s="2">
        <f>F187-G186</f>
        <v>0</v>
      </c>
    </row>
    <row r="187" spans="1:8" ht="15" customHeight="1" x14ac:dyDescent="0.25">
      <c r="A187" s="512" t="s">
        <v>563</v>
      </c>
      <c r="C187" s="355" t="s">
        <v>649</v>
      </c>
      <c r="D187" s="355" t="s">
        <v>526</v>
      </c>
      <c r="E187" s="2">
        <v>16.2</v>
      </c>
      <c r="F187" s="372"/>
      <c r="G187" s="47"/>
      <c r="H187" s="2">
        <f>F188-G187</f>
        <v>0</v>
      </c>
    </row>
    <row r="188" spans="1:8" ht="15" customHeight="1" x14ac:dyDescent="0.25">
      <c r="A188" s="512" t="s">
        <v>567</v>
      </c>
      <c r="B188" s="42">
        <v>2503</v>
      </c>
      <c r="C188" s="355" t="s">
        <v>326</v>
      </c>
      <c r="D188" s="355" t="s">
        <v>214</v>
      </c>
      <c r="E188" s="2">
        <v>32</v>
      </c>
      <c r="F188" s="372"/>
      <c r="G188" s="47">
        <v>27.47</v>
      </c>
      <c r="H188" s="2">
        <f>F189-G188</f>
        <v>137.35</v>
      </c>
    </row>
    <row r="189" spans="1:8" ht="15" customHeight="1" x14ac:dyDescent="0.25">
      <c r="A189" s="512" t="s">
        <v>567</v>
      </c>
      <c r="C189" s="355" t="s">
        <v>568</v>
      </c>
      <c r="D189" s="355" t="s">
        <v>569</v>
      </c>
      <c r="F189" s="372">
        <v>164.82</v>
      </c>
      <c r="G189" s="47"/>
      <c r="H189" s="2">
        <f>F190-G189</f>
        <v>500</v>
      </c>
    </row>
    <row r="190" spans="1:8" s="379" customFormat="1" ht="29.25" customHeight="1" x14ac:dyDescent="0.25">
      <c r="A190" s="512" t="s">
        <v>570</v>
      </c>
      <c r="B190" s="42"/>
      <c r="C190" s="355" t="s">
        <v>187</v>
      </c>
      <c r="D190" s="355" t="s">
        <v>571</v>
      </c>
      <c r="E190" s="2"/>
      <c r="F190" s="372">
        <v>500</v>
      </c>
      <c r="G190" s="432"/>
      <c r="H190" s="380">
        <f>F191-G190</f>
        <v>500</v>
      </c>
    </row>
    <row r="191" spans="1:8" ht="15" customHeight="1" x14ac:dyDescent="0.25">
      <c r="A191" s="430" t="s">
        <v>570</v>
      </c>
      <c r="B191" s="379"/>
      <c r="C191" s="520" t="s">
        <v>657</v>
      </c>
      <c r="D191" s="521" t="s">
        <v>572</v>
      </c>
      <c r="E191" s="380"/>
      <c r="F191" s="431">
        <v>500</v>
      </c>
      <c r="G191" s="47"/>
      <c r="H191" s="2">
        <f>F194-G191</f>
        <v>0</v>
      </c>
    </row>
    <row r="192" spans="1:8" ht="15" customHeight="1" x14ac:dyDescent="0.25">
      <c r="A192" s="511" t="s">
        <v>573</v>
      </c>
      <c r="B192" s="12"/>
      <c r="C192" s="15" t="s">
        <v>295</v>
      </c>
      <c r="D192" s="15" t="s">
        <v>574</v>
      </c>
      <c r="E192" s="4"/>
      <c r="F192" s="372">
        <v>1097.29</v>
      </c>
      <c r="G192" s="47"/>
    </row>
    <row r="193" spans="1:8" ht="15" customHeight="1" x14ac:dyDescent="0.25">
      <c r="A193" s="511" t="s">
        <v>573</v>
      </c>
      <c r="B193" s="12"/>
      <c r="C193" s="15" t="s">
        <v>295</v>
      </c>
      <c r="D193" s="15" t="s">
        <v>576</v>
      </c>
      <c r="E193" s="4"/>
      <c r="F193" s="372">
        <v>1000</v>
      </c>
      <c r="G193" s="47"/>
    </row>
    <row r="194" spans="1:8" ht="15" customHeight="1" x14ac:dyDescent="0.25">
      <c r="A194" s="512" t="s">
        <v>573</v>
      </c>
      <c r="C194" s="355" t="s">
        <v>295</v>
      </c>
      <c r="D194" s="355" t="s">
        <v>574</v>
      </c>
      <c r="E194" s="2">
        <v>1097.29</v>
      </c>
      <c r="F194" s="372"/>
      <c r="G194" s="47"/>
      <c r="H194" s="2">
        <f>F195-G194</f>
        <v>0</v>
      </c>
    </row>
    <row r="195" spans="1:8" ht="15" customHeight="1" x14ac:dyDescent="0.25">
      <c r="A195" s="512" t="s">
        <v>573</v>
      </c>
      <c r="C195" s="355" t="s">
        <v>295</v>
      </c>
      <c r="D195" s="355" t="s">
        <v>575</v>
      </c>
      <c r="E195" s="2">
        <v>1000</v>
      </c>
      <c r="F195" s="372"/>
      <c r="G195" s="47"/>
      <c r="H195" s="2">
        <f>F196-G195</f>
        <v>4.33</v>
      </c>
    </row>
    <row r="196" spans="1:8" ht="15" customHeight="1" x14ac:dyDescent="0.25">
      <c r="A196" s="512" t="s">
        <v>589</v>
      </c>
      <c r="C196" s="355" t="s">
        <v>648</v>
      </c>
      <c r="D196" s="355" t="s">
        <v>590</v>
      </c>
      <c r="F196" s="372">
        <v>4.33</v>
      </c>
      <c r="G196" s="47"/>
      <c r="H196" s="2">
        <f>F197-G196</f>
        <v>12.2</v>
      </c>
    </row>
    <row r="197" spans="1:8" ht="15" customHeight="1" x14ac:dyDescent="0.25">
      <c r="A197" s="512" t="s">
        <v>589</v>
      </c>
      <c r="C197" s="355" t="s">
        <v>79</v>
      </c>
      <c r="D197" s="355" t="s">
        <v>591</v>
      </c>
      <c r="F197" s="372">
        <v>12.2</v>
      </c>
      <c r="G197" s="47"/>
      <c r="H197" s="2">
        <f>F198-G197</f>
        <v>24.48</v>
      </c>
    </row>
    <row r="198" spans="1:8" ht="15" customHeight="1" x14ac:dyDescent="0.25">
      <c r="A198" s="512" t="s">
        <v>589</v>
      </c>
      <c r="C198" s="355" t="s">
        <v>649</v>
      </c>
      <c r="D198" s="355" t="s">
        <v>592</v>
      </c>
      <c r="F198" s="372">
        <v>24.48</v>
      </c>
      <c r="G198" s="47">
        <v>66.099999999999994</v>
      </c>
      <c r="H198" s="2">
        <f>F199-G198</f>
        <v>330.5</v>
      </c>
    </row>
    <row r="199" spans="1:8" ht="15" customHeight="1" x14ac:dyDescent="0.25">
      <c r="A199" s="512" t="s">
        <v>589</v>
      </c>
      <c r="B199" s="42">
        <v>1042</v>
      </c>
      <c r="C199" s="355" t="s">
        <v>593</v>
      </c>
      <c r="D199" s="355" t="s">
        <v>594</v>
      </c>
      <c r="F199" s="372">
        <v>396.6</v>
      </c>
      <c r="G199" s="47"/>
      <c r="H199" s="2">
        <f>F200-G199</f>
        <v>126.67</v>
      </c>
    </row>
    <row r="200" spans="1:8" ht="15" customHeight="1" x14ac:dyDescent="0.25">
      <c r="A200" s="512" t="s">
        <v>595</v>
      </c>
      <c r="C200" s="355" t="s">
        <v>648</v>
      </c>
      <c r="D200" s="355" t="s">
        <v>596</v>
      </c>
      <c r="F200" s="372">
        <v>126.67</v>
      </c>
      <c r="G200" s="47">
        <v>391.01</v>
      </c>
      <c r="H200" s="2">
        <f>F201-G200</f>
        <v>1955.0600000000002</v>
      </c>
    </row>
    <row r="201" spans="1:8" ht="15" customHeight="1" x14ac:dyDescent="0.25">
      <c r="A201" s="512" t="s">
        <v>597</v>
      </c>
      <c r="B201" s="42" t="s">
        <v>604</v>
      </c>
      <c r="C201" s="355" t="s">
        <v>408</v>
      </c>
      <c r="D201" s="355" t="s">
        <v>177</v>
      </c>
      <c r="F201" s="372">
        <v>2346.0700000000002</v>
      </c>
      <c r="G201" s="47"/>
      <c r="H201" s="2">
        <f>F202-G201</f>
        <v>47</v>
      </c>
    </row>
    <row r="202" spans="1:8" ht="15" customHeight="1" x14ac:dyDescent="0.25">
      <c r="A202" s="512" t="s">
        <v>598</v>
      </c>
      <c r="B202" s="42">
        <v>19199483</v>
      </c>
      <c r="C202" s="355" t="s">
        <v>658</v>
      </c>
      <c r="D202" s="355" t="s">
        <v>599</v>
      </c>
      <c r="F202" s="372">
        <v>47</v>
      </c>
      <c r="G202" s="47"/>
      <c r="H202" s="2">
        <f>F203-G202</f>
        <v>76.650000000000006</v>
      </c>
    </row>
    <row r="203" spans="1:8" ht="15" customHeight="1" x14ac:dyDescent="0.25">
      <c r="A203" s="512" t="s">
        <v>600</v>
      </c>
      <c r="C203" s="355" t="s">
        <v>649</v>
      </c>
      <c r="D203" s="355" t="s">
        <v>601</v>
      </c>
      <c r="F203" s="372">
        <v>76.650000000000006</v>
      </c>
      <c r="G203" s="47"/>
      <c r="H203" s="2">
        <f>F204-G203</f>
        <v>516.55999999999995</v>
      </c>
    </row>
    <row r="204" spans="1:8" ht="15" customHeight="1" x14ac:dyDescent="0.25">
      <c r="A204" s="512" t="s">
        <v>600</v>
      </c>
      <c r="C204" s="355" t="s">
        <v>649</v>
      </c>
      <c r="D204" s="355" t="s">
        <v>602</v>
      </c>
      <c r="F204" s="372">
        <v>516.55999999999995</v>
      </c>
      <c r="G204" s="47"/>
      <c r="H204" s="2">
        <f>F205-G204</f>
        <v>15</v>
      </c>
    </row>
    <row r="205" spans="1:8" ht="15" customHeight="1" x14ac:dyDescent="0.25">
      <c r="A205" s="512" t="s">
        <v>600</v>
      </c>
      <c r="C205" s="355" t="s">
        <v>206</v>
      </c>
      <c r="D205" s="355" t="s">
        <v>603</v>
      </c>
      <c r="F205" s="372">
        <v>15</v>
      </c>
      <c r="G205" s="47"/>
      <c r="H205" s="2">
        <f>F206-G205</f>
        <v>0</v>
      </c>
    </row>
    <row r="206" spans="1:8" ht="15" customHeight="1" x14ac:dyDescent="0.25">
      <c r="A206" s="512" t="s">
        <v>600</v>
      </c>
      <c r="C206" s="355" t="s">
        <v>649</v>
      </c>
      <c r="D206" s="355" t="s">
        <v>591</v>
      </c>
      <c r="E206" s="2">
        <v>12.2</v>
      </c>
      <c r="F206" s="372"/>
      <c r="G206" s="47">
        <v>0.6</v>
      </c>
      <c r="H206" s="2">
        <f>F208-G206</f>
        <v>2.9899999999999998</v>
      </c>
    </row>
    <row r="207" spans="1:8" ht="15" customHeight="1" x14ac:dyDescent="0.25">
      <c r="A207" s="518" t="s">
        <v>607</v>
      </c>
      <c r="B207" s="12"/>
      <c r="C207" s="15" t="s">
        <v>281</v>
      </c>
      <c r="D207" s="15" t="s">
        <v>659</v>
      </c>
      <c r="E207" s="4">
        <v>57.81</v>
      </c>
      <c r="F207" s="372"/>
      <c r="G207" s="47"/>
    </row>
    <row r="208" spans="1:8" ht="15" customHeight="1" x14ac:dyDescent="0.25">
      <c r="A208" s="512" t="s">
        <v>607</v>
      </c>
      <c r="C208" s="355" t="s">
        <v>247</v>
      </c>
      <c r="D208" s="355" t="s">
        <v>608</v>
      </c>
      <c r="F208" s="372">
        <v>3.59</v>
      </c>
      <c r="G208" s="47"/>
      <c r="H208" s="2">
        <f>F209-G208</f>
        <v>0</v>
      </c>
    </row>
    <row r="209" spans="1:8" ht="15" customHeight="1" x14ac:dyDescent="0.25">
      <c r="A209" s="512" t="s">
        <v>610</v>
      </c>
      <c r="B209" s="42">
        <v>2513</v>
      </c>
      <c r="C209" s="355" t="s">
        <v>611</v>
      </c>
      <c r="D209" s="355" t="s">
        <v>214</v>
      </c>
      <c r="E209" s="2">
        <v>30</v>
      </c>
      <c r="F209" s="372"/>
      <c r="G209" s="47"/>
      <c r="H209" s="2">
        <f>F210-G209</f>
        <v>0</v>
      </c>
    </row>
    <row r="210" spans="1:8" ht="15" customHeight="1" x14ac:dyDescent="0.25">
      <c r="A210" s="512" t="s">
        <v>610</v>
      </c>
      <c r="C210" s="355" t="s">
        <v>612</v>
      </c>
      <c r="D210" s="355" t="s">
        <v>214</v>
      </c>
      <c r="E210" s="2">
        <v>10</v>
      </c>
      <c r="F210" s="372"/>
      <c r="G210" s="47"/>
      <c r="H210" s="2">
        <f>F212-G210</f>
        <v>0</v>
      </c>
    </row>
    <row r="211" spans="1:8" ht="15" customHeight="1" x14ac:dyDescent="0.25">
      <c r="A211" s="518" t="s">
        <v>614</v>
      </c>
      <c r="B211" s="12"/>
      <c r="C211" s="15" t="s">
        <v>295</v>
      </c>
      <c r="D211" s="15" t="s">
        <v>615</v>
      </c>
      <c r="E211" s="4"/>
      <c r="F211" s="372">
        <v>3658.45</v>
      </c>
      <c r="G211" s="47"/>
    </row>
    <row r="212" spans="1:8" ht="15" customHeight="1" x14ac:dyDescent="0.25">
      <c r="A212" s="512" t="s">
        <v>614</v>
      </c>
      <c r="C212" s="355" t="s">
        <v>295</v>
      </c>
      <c r="D212" s="355" t="s">
        <v>615</v>
      </c>
      <c r="E212" s="2">
        <v>3658.45</v>
      </c>
      <c r="F212" s="372"/>
      <c r="G212" s="47"/>
      <c r="H212" s="2">
        <f>F213-G212</f>
        <v>0</v>
      </c>
    </row>
    <row r="213" spans="1:8" ht="15" customHeight="1" x14ac:dyDescent="0.25">
      <c r="A213" s="512" t="s">
        <v>614</v>
      </c>
      <c r="B213" s="42" t="s">
        <v>628</v>
      </c>
      <c r="C213" s="355" t="s">
        <v>298</v>
      </c>
      <c r="D213" s="355" t="s">
        <v>214</v>
      </c>
      <c r="E213" s="2">
        <v>84</v>
      </c>
      <c r="F213" s="372"/>
      <c r="G213" s="47"/>
      <c r="H213" s="2">
        <f>F214-G213</f>
        <v>0</v>
      </c>
    </row>
    <row r="214" spans="1:8" ht="15" customHeight="1" x14ac:dyDescent="0.25">
      <c r="A214" s="512" t="s">
        <v>614</v>
      </c>
      <c r="B214" s="42" t="s">
        <v>629</v>
      </c>
      <c r="C214" s="355" t="s">
        <v>272</v>
      </c>
      <c r="D214" s="355" t="s">
        <v>214</v>
      </c>
      <c r="E214" s="2">
        <v>72</v>
      </c>
      <c r="F214" s="372"/>
      <c r="G214" s="47"/>
      <c r="H214" s="2">
        <f>F215-G214</f>
        <v>4.33</v>
      </c>
    </row>
    <row r="215" spans="1:8" ht="15" customHeight="1" x14ac:dyDescent="0.25">
      <c r="A215" s="512" t="s">
        <v>614</v>
      </c>
      <c r="C215" s="355" t="s">
        <v>648</v>
      </c>
      <c r="D215" s="355" t="s">
        <v>616</v>
      </c>
      <c r="F215" s="372">
        <v>4.33</v>
      </c>
      <c r="G215" s="47">
        <v>0.94</v>
      </c>
      <c r="H215" s="2">
        <f>F216-G215</f>
        <v>4.6899999999999995</v>
      </c>
    </row>
    <row r="216" spans="1:8" ht="15" customHeight="1" x14ac:dyDescent="0.25">
      <c r="A216" s="512" t="s">
        <v>614</v>
      </c>
      <c r="B216" s="42">
        <v>90676</v>
      </c>
      <c r="C216" s="355" t="s">
        <v>648</v>
      </c>
      <c r="D216" s="355" t="s">
        <v>620</v>
      </c>
      <c r="F216" s="372">
        <v>5.63</v>
      </c>
      <c r="G216" s="47"/>
      <c r="H216" s="2">
        <f>F217-G216</f>
        <v>1600</v>
      </c>
    </row>
    <row r="217" spans="1:8" ht="15" customHeight="1" x14ac:dyDescent="0.25">
      <c r="A217" s="512" t="s">
        <v>614</v>
      </c>
      <c r="B217" s="42">
        <v>2538</v>
      </c>
      <c r="C217" s="355" t="s">
        <v>617</v>
      </c>
      <c r="D217" s="355" t="s">
        <v>618</v>
      </c>
      <c r="F217" s="372">
        <v>1600</v>
      </c>
      <c r="G217" s="47"/>
      <c r="H217" s="2">
        <f>F218-G217</f>
        <v>12.4</v>
      </c>
    </row>
    <row r="218" spans="1:8" ht="15" customHeight="1" x14ac:dyDescent="0.25">
      <c r="A218" s="512" t="s">
        <v>614</v>
      </c>
      <c r="C218" s="355" t="s">
        <v>79</v>
      </c>
      <c r="D218" s="355" t="s">
        <v>619</v>
      </c>
      <c r="F218" s="372">
        <v>12.4</v>
      </c>
      <c r="G218" s="47"/>
      <c r="H218" s="2">
        <f>F219-G218</f>
        <v>12.24</v>
      </c>
    </row>
    <row r="219" spans="1:8" ht="15" customHeight="1" x14ac:dyDescent="0.25">
      <c r="A219" s="512" t="s">
        <v>614</v>
      </c>
      <c r="C219" s="355" t="s">
        <v>649</v>
      </c>
      <c r="D219" s="355" t="s">
        <v>620</v>
      </c>
      <c r="F219" s="372">
        <v>12.24</v>
      </c>
      <c r="G219" s="47"/>
      <c r="H219" s="2">
        <f>F220-G219</f>
        <v>52</v>
      </c>
    </row>
    <row r="220" spans="1:8" ht="15" customHeight="1" x14ac:dyDescent="0.25">
      <c r="A220" s="512" t="s">
        <v>614</v>
      </c>
      <c r="B220" s="42">
        <v>21511</v>
      </c>
      <c r="C220" s="355" t="s">
        <v>193</v>
      </c>
      <c r="D220" s="355" t="s">
        <v>621</v>
      </c>
      <c r="F220" s="372">
        <v>52</v>
      </c>
      <c r="G220" s="47"/>
      <c r="H220" s="2">
        <f>F221-G220</f>
        <v>131</v>
      </c>
    </row>
    <row r="221" spans="1:8" ht="15" customHeight="1" x14ac:dyDescent="0.25">
      <c r="A221" s="512" t="s">
        <v>622</v>
      </c>
      <c r="C221" s="355" t="s">
        <v>648</v>
      </c>
      <c r="D221" s="355" t="s">
        <v>623</v>
      </c>
      <c r="F221" s="372">
        <v>131</v>
      </c>
      <c r="G221" s="47"/>
      <c r="H221" s="2">
        <f>F222-G221</f>
        <v>0</v>
      </c>
    </row>
    <row r="222" spans="1:8" ht="15" customHeight="1" x14ac:dyDescent="0.25">
      <c r="A222" s="512" t="s">
        <v>624</v>
      </c>
      <c r="B222" s="42">
        <v>2518</v>
      </c>
      <c r="C222" s="355" t="s">
        <v>625</v>
      </c>
      <c r="D222" s="355" t="s">
        <v>214</v>
      </c>
      <c r="E222" s="2">
        <v>20</v>
      </c>
      <c r="F222" s="372"/>
      <c r="G222" s="47"/>
      <c r="H222" s="2">
        <f>F223-G222</f>
        <v>0</v>
      </c>
    </row>
    <row r="223" spans="1:8" ht="15" customHeight="1" x14ac:dyDescent="0.25">
      <c r="A223" s="512" t="s">
        <v>626</v>
      </c>
      <c r="B223" s="42">
        <v>2506</v>
      </c>
      <c r="C223" s="355" t="s">
        <v>627</v>
      </c>
      <c r="D223" s="522" t="s">
        <v>214</v>
      </c>
      <c r="E223" s="515">
        <v>20</v>
      </c>
      <c r="F223" s="372"/>
      <c r="G223" s="47"/>
      <c r="H223" s="2">
        <f>F224-G223</f>
        <v>0</v>
      </c>
    </row>
    <row r="224" spans="1:8" ht="15" customHeight="1" x14ac:dyDescent="0.25">
      <c r="A224" s="512" t="s">
        <v>631</v>
      </c>
      <c r="B224" s="42">
        <v>2514</v>
      </c>
      <c r="C224" s="355" t="s">
        <v>187</v>
      </c>
      <c r="D224" s="355" t="s">
        <v>333</v>
      </c>
      <c r="E224" s="2">
        <v>2324.69</v>
      </c>
      <c r="F224" s="372"/>
      <c r="G224" s="47">
        <v>189.17</v>
      </c>
      <c r="H224" s="2">
        <f>F225-G224</f>
        <v>945.83</v>
      </c>
    </row>
    <row r="225" spans="1:8 16315:16315" ht="15" customHeight="1" x14ac:dyDescent="0.25">
      <c r="A225" s="512" t="s">
        <v>631</v>
      </c>
      <c r="B225" s="42" t="s">
        <v>637</v>
      </c>
      <c r="C225" s="355" t="s">
        <v>408</v>
      </c>
      <c r="D225" s="355" t="s">
        <v>177</v>
      </c>
      <c r="F225" s="372">
        <v>1135</v>
      </c>
      <c r="G225" s="47"/>
      <c r="H225" s="2">
        <f>F226-G225</f>
        <v>0</v>
      </c>
    </row>
    <row r="226" spans="1:8 16315:16315" ht="15" customHeight="1" x14ac:dyDescent="0.25">
      <c r="A226" s="512" t="s">
        <v>632</v>
      </c>
      <c r="B226" s="42" t="s">
        <v>638</v>
      </c>
      <c r="C226" s="355" t="s">
        <v>274</v>
      </c>
      <c r="D226" s="355" t="s">
        <v>214</v>
      </c>
      <c r="E226" s="2">
        <v>192</v>
      </c>
      <c r="F226" s="372"/>
      <c r="G226" s="47"/>
      <c r="H226" s="2">
        <f>F227-G226</f>
        <v>0</v>
      </c>
    </row>
    <row r="227" spans="1:8 16315:16315" ht="15" customHeight="1" x14ac:dyDescent="0.25">
      <c r="A227" s="512" t="s">
        <v>632</v>
      </c>
      <c r="B227" s="42" t="s">
        <v>639</v>
      </c>
      <c r="C227" s="355" t="s">
        <v>326</v>
      </c>
      <c r="D227" s="355" t="s">
        <v>214</v>
      </c>
      <c r="E227" s="2">
        <v>32</v>
      </c>
      <c r="F227" s="372"/>
      <c r="G227" s="47"/>
      <c r="H227" s="2">
        <f>F228-G227</f>
        <v>0</v>
      </c>
    </row>
    <row r="228" spans="1:8 16315:16315" ht="15" customHeight="1" x14ac:dyDescent="0.25">
      <c r="A228" s="512" t="s">
        <v>632</v>
      </c>
      <c r="B228" s="42" t="s">
        <v>640</v>
      </c>
      <c r="C228" s="355" t="s">
        <v>298</v>
      </c>
      <c r="D228" s="355" t="s">
        <v>214</v>
      </c>
      <c r="E228" s="2">
        <v>84</v>
      </c>
      <c r="F228" s="372"/>
      <c r="G228" s="47"/>
      <c r="H228" s="2">
        <f>F229-G228</f>
        <v>76.650000000000006</v>
      </c>
    </row>
    <row r="229" spans="1:8 16315:16315" ht="15" customHeight="1" x14ac:dyDescent="0.25">
      <c r="A229" s="512" t="s">
        <v>633</v>
      </c>
      <c r="C229" s="355" t="s">
        <v>649</v>
      </c>
      <c r="D229" s="355" t="s">
        <v>634</v>
      </c>
      <c r="F229" s="372">
        <v>76.650000000000006</v>
      </c>
      <c r="G229" s="47"/>
      <c r="H229" s="2">
        <f>F230-G229</f>
        <v>516.55999999999995</v>
      </c>
    </row>
    <row r="230" spans="1:8 16315:16315" ht="15" customHeight="1" x14ac:dyDescent="0.25">
      <c r="A230" s="512" t="s">
        <v>633</v>
      </c>
      <c r="C230" s="355" t="s">
        <v>649</v>
      </c>
      <c r="D230" s="355" t="s">
        <v>635</v>
      </c>
      <c r="F230" s="372">
        <v>516.55999999999995</v>
      </c>
      <c r="G230" s="47"/>
      <c r="H230" s="2">
        <f>F231-G230</f>
        <v>15</v>
      </c>
    </row>
    <row r="231" spans="1:8 16315:16315" ht="15" customHeight="1" x14ac:dyDescent="0.25">
      <c r="A231" s="512" t="s">
        <v>633</v>
      </c>
      <c r="C231" s="355" t="s">
        <v>206</v>
      </c>
      <c r="D231" s="355" t="s">
        <v>636</v>
      </c>
      <c r="F231" s="372">
        <v>15</v>
      </c>
      <c r="G231" s="47"/>
      <c r="H231" s="2">
        <f>F232-G231</f>
        <v>0</v>
      </c>
    </row>
    <row r="232" spans="1:8 16315:16315" ht="15" customHeight="1" x14ac:dyDescent="0.25">
      <c r="A232" s="512" t="s">
        <v>633</v>
      </c>
      <c r="C232" s="355" t="s">
        <v>649</v>
      </c>
      <c r="D232" s="355" t="s">
        <v>619</v>
      </c>
      <c r="E232" s="2">
        <v>12.4</v>
      </c>
      <c r="F232" s="372"/>
      <c r="H232" s="2">
        <f>F233-G232</f>
        <v>0</v>
      </c>
    </row>
    <row r="233" spans="1:8 16315:16315" ht="15.75" customHeight="1" x14ac:dyDescent="0.25">
      <c r="A233" s="518"/>
      <c r="B233" s="13"/>
      <c r="C233" s="14"/>
      <c r="D233" s="14"/>
      <c r="E233" s="1"/>
      <c r="F233" s="1"/>
      <c r="G233" s="1"/>
      <c r="H233" s="1"/>
      <c r="XCM233" s="46">
        <f>SUM(I233:XCL233)</f>
        <v>0</v>
      </c>
    </row>
    <row r="234" spans="1:8 16315:16315" ht="15" customHeight="1" x14ac:dyDescent="0.25">
      <c r="E234" s="1"/>
      <c r="F234" s="1"/>
      <c r="G234" s="1"/>
      <c r="H234" s="1"/>
    </row>
    <row r="235" spans="1:8 16315:16315" s="5" customFormat="1" ht="15" customHeight="1" x14ac:dyDescent="0.25">
      <c r="A235" s="513"/>
      <c r="B235" s="42"/>
      <c r="C235" s="355"/>
      <c r="D235" s="355"/>
      <c r="E235" s="1"/>
      <c r="F235" s="1"/>
      <c r="G235" s="1"/>
      <c r="H235" s="1"/>
    </row>
    <row r="236" spans="1:8 16315:16315" ht="15" customHeight="1" x14ac:dyDescent="0.25">
      <c r="A236" s="517"/>
      <c r="B236" s="386"/>
      <c r="C236" s="392"/>
      <c r="D236" s="392"/>
      <c r="E236" s="1"/>
      <c r="F236" s="1"/>
      <c r="G236" s="1"/>
      <c r="H236" s="1"/>
    </row>
    <row r="237" spans="1:8 16315:16315" s="5" customFormat="1" ht="15" customHeight="1" x14ac:dyDescent="0.25">
      <c r="A237" s="513"/>
      <c r="B237" s="42"/>
      <c r="C237" s="355"/>
      <c r="D237" s="355"/>
      <c r="E237" s="1"/>
      <c r="F237" s="1"/>
      <c r="G237" s="1"/>
      <c r="H237" s="1"/>
    </row>
    <row r="238" spans="1:8 16315:16315" ht="15" customHeight="1" x14ac:dyDescent="0.25">
      <c r="A238" s="517"/>
      <c r="B238" s="386"/>
      <c r="C238" s="392"/>
      <c r="D238" s="392"/>
      <c r="E238" s="1"/>
      <c r="F238" s="1"/>
      <c r="G238" s="1"/>
      <c r="H238" s="1"/>
    </row>
    <row r="239" spans="1:8 16315:16315" ht="29.25" customHeight="1" x14ac:dyDescent="0.25">
      <c r="E239" s="1"/>
      <c r="F239" s="1"/>
      <c r="G239" s="1"/>
      <c r="H239" s="1"/>
    </row>
    <row r="240" spans="1:8 16315:16315" ht="15" customHeight="1" x14ac:dyDescent="0.25">
      <c r="E240" s="1"/>
      <c r="F240" s="1"/>
      <c r="G240" s="1"/>
      <c r="H240" s="1"/>
    </row>
    <row r="241" spans="5:8" ht="15" customHeight="1" x14ac:dyDescent="0.25">
      <c r="E241" s="1"/>
      <c r="F241" s="1"/>
      <c r="G241" s="1"/>
      <c r="H241" s="1"/>
    </row>
    <row r="242" spans="5:8" ht="15" customHeight="1" x14ac:dyDescent="0.25">
      <c r="E242" s="1"/>
      <c r="F242" s="1"/>
      <c r="G242" s="1"/>
      <c r="H242" s="1"/>
    </row>
    <row r="243" spans="5:8" ht="15" customHeight="1" x14ac:dyDescent="0.25">
      <c r="E243" s="1"/>
      <c r="F243" s="1"/>
      <c r="G243" s="1"/>
      <c r="H243" s="1"/>
    </row>
    <row r="244" spans="5:8" ht="15" customHeight="1" x14ac:dyDescent="0.25">
      <c r="E244" s="1"/>
      <c r="F244" s="1"/>
      <c r="G244" s="1"/>
      <c r="H244" s="1"/>
    </row>
    <row r="245" spans="5:8" ht="15" customHeight="1" x14ac:dyDescent="0.25">
      <c r="E245" s="1"/>
      <c r="F245" s="1"/>
      <c r="G245" s="1"/>
      <c r="H245" s="1"/>
    </row>
    <row r="246" spans="5:8" ht="15" customHeight="1" x14ac:dyDescent="0.25">
      <c r="E246" s="1"/>
      <c r="F246" s="1"/>
      <c r="G246" s="1"/>
      <c r="H246" s="1"/>
    </row>
    <row r="247" spans="5:8" ht="15" customHeight="1" x14ac:dyDescent="0.25">
      <c r="E247" s="1"/>
      <c r="F247" s="1"/>
      <c r="G247" s="1"/>
      <c r="H247" s="1"/>
    </row>
    <row r="248" spans="5:8" ht="15" customHeight="1" x14ac:dyDescent="0.25">
      <c r="E248" s="1"/>
      <c r="F248" s="1"/>
      <c r="G248" s="1"/>
      <c r="H248" s="1"/>
    </row>
    <row r="249" spans="5:8" ht="15" customHeight="1" x14ac:dyDescent="0.25">
      <c r="E249" s="1"/>
      <c r="F249" s="1"/>
      <c r="G249" s="1"/>
      <c r="H249" s="1"/>
    </row>
  </sheetData>
  <phoneticPr fontId="64" type="noConversion"/>
  <conditionalFormatting sqref="H6 E8 H8 E10:E14 H10:H14 E16:E19 H16:H19 E53 H52:H54 H79:H88 E81:E86 H91:H232 A41:F52 A56:F79 A88:F113 A7:XFD7 A9:XFD9 A15:XFD15 G95:H232 A20:F39 G20:XFD51 G55:XFD78 G89:H90 E55 A116:F124 A126:F156 A158:F191 F157 A194:F206 A208:F210 F207 A212:F232 A233:D233">
    <cfRule type="expression" dxfId="44" priority="16">
      <formula>LEFT(#REF!,1)="R"</formula>
    </cfRule>
  </conditionalFormatting>
  <conditionalFormatting sqref="E6">
    <cfRule type="expression" dxfId="43" priority="27">
      <formula>LEFT(#REF!,1)="R"</formula>
    </cfRule>
  </conditionalFormatting>
  <conditionalFormatting sqref="E13">
    <cfRule type="expression" dxfId="42" priority="29">
      <formula>AND(#REF!&lt;&gt;$E13,#REF!&lt;&gt;$E13)</formula>
    </cfRule>
  </conditionalFormatting>
  <conditionalFormatting sqref="H10:H14 H16:H19">
    <cfRule type="expression" dxfId="41" priority="28">
      <formula>LEFT(#REF!,1)="R"</formula>
    </cfRule>
  </conditionalFormatting>
  <conditionalFormatting sqref="E6 E8 E10:E12 E14 E16:E19 E53 E81:E86 E55 E88:E113 E116:E124 E126:E156 E158:E191 E194:E206 E208:E210 E212:E232">
    <cfRule type="expression" dxfId="40" priority="344">
      <formula>AND(#REF!&lt;&gt;$E6,#REF!&lt;&gt;$E6)</formula>
    </cfRule>
  </conditionalFormatting>
  <conditionalFormatting sqref="H10:H14 H16:H19 H6 A7:XFD7 H8 A9:XFD9 A15:XFD15 H52:H54 H79:H232 A20:F39 G20:XFD51 G55:XFD78">
    <cfRule type="expression" dxfId="39" priority="366">
      <formula>$H6&lt;&gt;#REF!</formula>
    </cfRule>
  </conditionalFormatting>
  <conditionalFormatting sqref="G86:G87 G94">
    <cfRule type="expression" dxfId="38" priority="404">
      <formula>LEFT(#REF!,1)="R"</formula>
    </cfRule>
    <cfRule type="expression" dxfId="37" priority="405">
      <formula>$H86&lt;&gt;#REF!</formula>
    </cfRule>
  </conditionalFormatting>
  <conditionalFormatting sqref="A41:F52 A56:F79">
    <cfRule type="expression" dxfId="36" priority="422">
      <formula>$H40&lt;&gt;#REF!</formula>
    </cfRule>
  </conditionalFormatting>
  <conditionalFormatting sqref="A40:F40">
    <cfRule type="expression" dxfId="35" priority="15">
      <formula>LEFT(#REF!,1)="R"</formula>
    </cfRule>
  </conditionalFormatting>
  <conditionalFormatting sqref="A54:F54">
    <cfRule type="expression" dxfId="34" priority="14">
      <formula>LEFT(#REF!,1)="R"</formula>
    </cfRule>
  </conditionalFormatting>
  <conditionalFormatting sqref="A87:E87">
    <cfRule type="expression" dxfId="33" priority="13">
      <formula>LEFT(#REF!,1)="R"</formula>
    </cfRule>
  </conditionalFormatting>
  <conditionalFormatting sqref="E114:E115">
    <cfRule type="expression" dxfId="32" priority="12">
      <formula>AND(#REF!&lt;&gt;$E114,$P114&lt;&gt;$E114)</formula>
    </cfRule>
  </conditionalFormatting>
  <conditionalFormatting sqref="A114:F115">
    <cfRule type="expression" dxfId="31" priority="11">
      <formula>LEFT(#REF!,1)="R"</formula>
    </cfRule>
  </conditionalFormatting>
  <conditionalFormatting sqref="E125">
    <cfRule type="expression" dxfId="30" priority="10">
      <formula>AND(#REF!&lt;&gt;$E125,$P125&lt;&gt;$E125)</formula>
    </cfRule>
  </conditionalFormatting>
  <conditionalFormatting sqref="A125:F125">
    <cfRule type="expression" dxfId="29" priority="9">
      <formula>LEFT(#REF!,1)="R"</formula>
    </cfRule>
  </conditionalFormatting>
  <conditionalFormatting sqref="E157">
    <cfRule type="expression" dxfId="28" priority="8">
      <formula>AND(#REF!&lt;&gt;$E157,$P157&lt;&gt;$E157)</formula>
    </cfRule>
  </conditionalFormatting>
  <conditionalFormatting sqref="A157:E157">
    <cfRule type="expression" dxfId="27" priority="7">
      <formula>LEFT(#REF!,1)="R"</formula>
    </cfRule>
  </conditionalFormatting>
  <conditionalFormatting sqref="E192:E193">
    <cfRule type="expression" dxfId="26" priority="6">
      <formula>AND(#REF!&lt;&gt;$E192,$P192&lt;&gt;$E192)</formula>
    </cfRule>
  </conditionalFormatting>
  <conditionalFormatting sqref="A192:F193">
    <cfRule type="expression" dxfId="25" priority="5">
      <formula>LEFT(#REF!,1)="R"</formula>
    </cfRule>
  </conditionalFormatting>
  <conditionalFormatting sqref="E207">
    <cfRule type="expression" dxfId="24" priority="4">
      <formula>AND(#REF!&lt;&gt;$E207,$P207&lt;&gt;$E207)</formula>
    </cfRule>
  </conditionalFormatting>
  <conditionalFormatting sqref="A207:E207">
    <cfRule type="expression" dxfId="23" priority="3">
      <formula>LEFT(#REF!,1)="R"</formula>
    </cfRule>
  </conditionalFormatting>
  <conditionalFormatting sqref="E211">
    <cfRule type="expression" dxfId="1" priority="2">
      <formula>AND(#REF!&lt;&gt;$E211,$P211&lt;&gt;$E211)</formula>
    </cfRule>
  </conditionalFormatting>
  <conditionalFormatting sqref="A211:F211">
    <cfRule type="expression" dxfId="0" priority="1">
      <formula>LEFT(#REF!,1)="R"</formula>
    </cfRule>
  </conditionalFormatting>
  <pageMargins left="0.70866141732283472" right="0.70866141732283472" top="0.74803149606299213" bottom="0.74803149606299213" header="0.31496062992125984" footer="0.31496062992125984"/>
  <pageSetup paperSize="9" scale="31" fitToHeight="0" orientation="landscape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48362-4FCF-4933-8C5F-A47E227F93B3}">
  <sheetPr>
    <pageSetUpPr fitToPage="1"/>
  </sheetPr>
  <dimension ref="A1:P31"/>
  <sheetViews>
    <sheetView zoomScale="90" zoomScaleNormal="90" workbookViewId="0">
      <pane ySplit="3" topLeftCell="A7" activePane="bottomLeft" state="frozen"/>
      <selection activeCell="I202" sqref="I202"/>
      <selection pane="bottomLeft" activeCell="A17" sqref="A17:F17"/>
    </sheetView>
  </sheetViews>
  <sheetFormatPr defaultColWidth="9.140625" defaultRowHeight="15" x14ac:dyDescent="0.25"/>
  <cols>
    <col min="1" max="2" width="12.7109375" style="1" customWidth="1"/>
    <col min="3" max="3" width="18.85546875" style="355" customWidth="1"/>
    <col min="4" max="4" width="27.42578125" style="355" customWidth="1"/>
    <col min="5" max="5" width="11.42578125" style="2" customWidth="1"/>
    <col min="6" max="6" width="11.42578125" style="370" customWidth="1"/>
    <col min="7" max="7" width="12.85546875" style="2" customWidth="1"/>
    <col min="8" max="9" width="11.42578125" style="2" customWidth="1"/>
    <col min="10" max="10" width="11" style="7" customWidth="1"/>
    <col min="11" max="13" width="11.42578125" style="2" customWidth="1"/>
    <col min="15" max="15" width="9.140625" style="46"/>
    <col min="16" max="16" width="11.140625" style="1" customWidth="1"/>
    <col min="17" max="16384" width="9.140625" style="1"/>
  </cols>
  <sheetData>
    <row r="1" spans="1:16" ht="15" customHeight="1" x14ac:dyDescent="0.25">
      <c r="A1" s="5" t="s">
        <v>386</v>
      </c>
      <c r="B1" s="5"/>
    </row>
    <row r="2" spans="1:16" ht="15.75" customHeight="1" x14ac:dyDescent="0.25">
      <c r="A2" s="5"/>
      <c r="B2" s="5"/>
    </row>
    <row r="3" spans="1:16" ht="75" customHeight="1" x14ac:dyDescent="0.25">
      <c r="A3" s="371" t="s">
        <v>0</v>
      </c>
      <c r="B3" s="371" t="s">
        <v>1</v>
      </c>
      <c r="C3" s="355" t="s">
        <v>11</v>
      </c>
      <c r="D3" s="355" t="s">
        <v>12</v>
      </c>
      <c r="E3" s="2" t="s">
        <v>387</v>
      </c>
      <c r="F3" s="372" t="s">
        <v>17</v>
      </c>
      <c r="G3" s="47" t="s">
        <v>49</v>
      </c>
      <c r="H3" s="47" t="s">
        <v>3</v>
      </c>
      <c r="I3" s="50" t="s">
        <v>4</v>
      </c>
      <c r="J3" s="51" t="s">
        <v>80</v>
      </c>
      <c r="K3" s="47"/>
      <c r="L3" s="47" t="s">
        <v>392</v>
      </c>
      <c r="M3" s="47" t="s">
        <v>393</v>
      </c>
      <c r="O3" s="373" t="s">
        <v>6</v>
      </c>
    </row>
    <row r="4" spans="1:16" ht="15" customHeight="1" x14ac:dyDescent="0.25">
      <c r="F4" s="372"/>
      <c r="G4" s="47">
        <f>SUM('Bank Recon'!D26)</f>
        <v>18652.080000000002</v>
      </c>
      <c r="H4" s="47"/>
      <c r="I4" s="47"/>
      <c r="J4" s="17"/>
      <c r="K4" s="47"/>
      <c r="L4" s="47"/>
      <c r="M4" s="47"/>
    </row>
    <row r="5" spans="1:16" ht="15" customHeight="1" x14ac:dyDescent="0.25">
      <c r="A5" s="1" t="s">
        <v>0</v>
      </c>
      <c r="C5" s="355" t="s">
        <v>7</v>
      </c>
      <c r="D5" s="355" t="s">
        <v>12</v>
      </c>
      <c r="F5" s="372" t="s">
        <v>2</v>
      </c>
      <c r="G5" s="47"/>
      <c r="H5" s="47" t="s">
        <v>3</v>
      </c>
      <c r="I5" s="47" t="s">
        <v>4</v>
      </c>
      <c r="K5" s="47"/>
      <c r="L5" s="47"/>
      <c r="M5" s="47"/>
    </row>
    <row r="6" spans="1:16" ht="15" customHeight="1" x14ac:dyDescent="0.25">
      <c r="A6" s="394" t="s">
        <v>263</v>
      </c>
      <c r="B6" s="354"/>
      <c r="C6" s="355" t="s">
        <v>295</v>
      </c>
      <c r="D6" s="355" t="s">
        <v>296</v>
      </c>
      <c r="F6" s="383">
        <v>206.45</v>
      </c>
      <c r="G6" s="47">
        <f>IF($E6&gt;0,$G$4+$E6,IF($F6&gt;0,$G$4-$F6,$G$4))</f>
        <v>18445.63</v>
      </c>
      <c r="H6" s="47"/>
      <c r="I6" s="47"/>
      <c r="J6" s="371" t="s">
        <v>310</v>
      </c>
      <c r="K6" s="47"/>
      <c r="L6" s="47">
        <v>206.45</v>
      </c>
      <c r="M6" s="47"/>
      <c r="P6" s="46">
        <f t="shared" ref="P6:P9" si="0">SUM(O6:O6)</f>
        <v>0</v>
      </c>
    </row>
    <row r="7" spans="1:16" s="47" customFormat="1" ht="15" customHeight="1" x14ac:dyDescent="0.25">
      <c r="G7" s="47">
        <f>IF(Cashbook!$E40&gt;0,$G6+Cashbook!$E40,IF(Cashbook!$F40&gt;0,$G6-Cashbook!$F40,$G6))</f>
        <v>18515.22</v>
      </c>
      <c r="J7" s="47" t="s">
        <v>310</v>
      </c>
      <c r="M7" s="47">
        <f t="shared" ref="M7:M16" si="1">SUM(L7)</f>
        <v>0</v>
      </c>
      <c r="O7" s="47">
        <v>69.59</v>
      </c>
      <c r="P7" s="47">
        <f t="shared" si="0"/>
        <v>69.59</v>
      </c>
    </row>
    <row r="8" spans="1:16" s="47" customFormat="1" ht="15" customHeight="1" x14ac:dyDescent="0.25">
      <c r="G8" s="47">
        <f>IF(Cashbook!$E54&gt;0,$G7+Cashbook!$E54,IF(Cashbook!$F54&gt;0,$G7-Cashbook!$F54,$G7))</f>
        <v>17495.22</v>
      </c>
      <c r="J8" s="47" t="s">
        <v>371</v>
      </c>
      <c r="L8" s="47">
        <v>1020</v>
      </c>
      <c r="P8" s="47">
        <f t="shared" si="0"/>
        <v>0</v>
      </c>
    </row>
    <row r="9" spans="1:16" s="47" customFormat="1" ht="15" customHeight="1" x14ac:dyDescent="0.25">
      <c r="F9" s="372"/>
      <c r="G9" s="47">
        <f>IF(Cashbook!$E87&gt;0,$G8+Cashbook!$E87,IF($F9&gt;0,$G8-$F9,$G8))</f>
        <v>17561.36</v>
      </c>
      <c r="J9" s="47" t="s">
        <v>422</v>
      </c>
      <c r="M9" s="47">
        <f t="shared" si="1"/>
        <v>0</v>
      </c>
      <c r="O9" s="47">
        <v>66.14</v>
      </c>
      <c r="P9" s="47">
        <f t="shared" si="0"/>
        <v>66.14</v>
      </c>
    </row>
    <row r="10" spans="1:16" ht="15" customHeight="1" x14ac:dyDescent="0.25">
      <c r="G10" s="47">
        <f>IF(Cashbook!$E114&gt;0,$G9+Cashbook!$E114,IF(Cashbook!$F114&gt;0,$G9-Cashbook!$F114,$G9))</f>
        <v>17781.36</v>
      </c>
      <c r="H10" s="47"/>
      <c r="J10" s="382" t="s">
        <v>481</v>
      </c>
      <c r="M10" s="2">
        <v>220</v>
      </c>
      <c r="N10" s="2"/>
      <c r="P10" s="46">
        <f>SUM(L10:O10)</f>
        <v>220</v>
      </c>
    </row>
    <row r="11" spans="1:16" ht="15" customHeight="1" x14ac:dyDescent="0.25">
      <c r="G11" s="47">
        <f>IF(Cashbook!$E115&gt;0,$G10+Cashbook!$E115,IF(Cashbook!$F115&gt;0,$G10-Cashbook!$F115,$G10))</f>
        <v>17575.36</v>
      </c>
      <c r="H11" s="47"/>
      <c r="J11" s="382" t="s">
        <v>481</v>
      </c>
      <c r="L11" s="2">
        <v>206</v>
      </c>
      <c r="M11" s="47"/>
      <c r="P11" s="46">
        <f>SUM(L11:O11)</f>
        <v>206</v>
      </c>
    </row>
    <row r="12" spans="1:16" ht="15" customHeight="1" x14ac:dyDescent="0.25">
      <c r="A12" s="47"/>
      <c r="B12" s="12"/>
      <c r="C12" s="15"/>
      <c r="D12" s="15"/>
      <c r="E12" s="4"/>
      <c r="F12" s="372"/>
      <c r="G12" s="47">
        <f>IF($E12&gt;0,$G11+$E12,IF($F12&gt;0,$G11-$F12,$G11))</f>
        <v>17575.36</v>
      </c>
      <c r="H12" s="47"/>
      <c r="J12" s="382" t="s">
        <v>481</v>
      </c>
      <c r="L12" s="2">
        <v>680.32</v>
      </c>
      <c r="M12" s="47"/>
      <c r="P12" s="46">
        <f t="shared" ref="P12:P16" si="2">SUM(L12:O12)</f>
        <v>680.32</v>
      </c>
    </row>
    <row r="13" spans="1:16" ht="15" customHeight="1" x14ac:dyDescent="0.25">
      <c r="A13" s="47"/>
      <c r="B13" s="12"/>
      <c r="C13" s="15"/>
      <c r="D13" s="15"/>
      <c r="E13" s="4"/>
      <c r="F13" s="372"/>
      <c r="G13" s="47">
        <f>IF($E13&gt;0,$G12+$E13,IF($F13&gt;0,$G12-$F13,$G12))</f>
        <v>17575.36</v>
      </c>
      <c r="H13" s="47"/>
      <c r="J13" s="155" t="s">
        <v>524</v>
      </c>
      <c r="M13" s="47"/>
      <c r="N13" s="47"/>
      <c r="O13" s="47">
        <v>64.64</v>
      </c>
      <c r="P13" s="46">
        <f t="shared" si="2"/>
        <v>64.64</v>
      </c>
    </row>
    <row r="14" spans="1:16" ht="15" customHeight="1" x14ac:dyDescent="0.25">
      <c r="A14" s="47"/>
      <c r="B14" s="12"/>
      <c r="C14" s="15"/>
      <c r="D14" s="15"/>
      <c r="E14" s="4"/>
      <c r="F14" s="372"/>
      <c r="G14" s="47">
        <f>IF($E14&gt;0,$G13+$E14,IF($F14&gt;0,$G13-$F14,$G13))</f>
        <v>17575.36</v>
      </c>
      <c r="H14" s="47"/>
      <c r="J14" s="155" t="s">
        <v>606</v>
      </c>
      <c r="L14" s="2">
        <v>1097.29</v>
      </c>
      <c r="M14" s="47"/>
      <c r="N14" s="47"/>
      <c r="O14" s="47"/>
      <c r="P14" s="46"/>
    </row>
    <row r="15" spans="1:16" ht="15" customHeight="1" x14ac:dyDescent="0.25">
      <c r="A15" s="47"/>
      <c r="B15" s="12"/>
      <c r="C15" s="15"/>
      <c r="D15" s="15"/>
      <c r="E15" s="4"/>
      <c r="F15" s="372"/>
      <c r="G15" s="47">
        <f>IF($E15&gt;0,$G14+$E15,IF($F15&gt;0,$G14-$F15,$G14))</f>
        <v>17575.36</v>
      </c>
      <c r="H15" s="47"/>
      <c r="J15" s="155" t="s">
        <v>606</v>
      </c>
      <c r="L15" s="2">
        <v>1000</v>
      </c>
      <c r="M15" s="47"/>
      <c r="N15" s="47"/>
      <c r="O15" s="47"/>
      <c r="P15" s="46"/>
    </row>
    <row r="16" spans="1:16" ht="15" customHeight="1" x14ac:dyDescent="0.25">
      <c r="A16" s="463"/>
      <c r="B16" s="12"/>
      <c r="C16" s="15"/>
      <c r="D16" s="15"/>
      <c r="E16" s="4"/>
      <c r="F16" s="372"/>
      <c r="G16" s="47">
        <f>IF($E16&gt;0,$G15+$E16,IF($F16&gt;0,$G15-$F16,$G15))</f>
        <v>17575.36</v>
      </c>
      <c r="H16" s="47"/>
      <c r="J16" s="155" t="s">
        <v>630</v>
      </c>
      <c r="M16" s="2">
        <f t="shared" si="1"/>
        <v>0</v>
      </c>
      <c r="N16" s="2"/>
      <c r="O16" s="46">
        <v>57.81</v>
      </c>
      <c r="P16" s="46">
        <f t="shared" si="2"/>
        <v>57.81</v>
      </c>
    </row>
    <row r="17" spans="1:16" ht="15" customHeight="1" x14ac:dyDescent="0.25">
      <c r="A17" s="463" t="s">
        <v>614</v>
      </c>
      <c r="B17" s="12"/>
      <c r="C17" s="15" t="s">
        <v>295</v>
      </c>
      <c r="D17" s="15" t="s">
        <v>615</v>
      </c>
      <c r="E17" s="4"/>
      <c r="F17" s="372">
        <v>3658.45</v>
      </c>
      <c r="G17" s="47">
        <f>IF($E17&gt;0,$G16+$E17,IF($F17&gt;0,$G16-$F17,$G16))</f>
        <v>13916.91</v>
      </c>
      <c r="H17" s="47"/>
      <c r="J17" s="155" t="s">
        <v>647</v>
      </c>
      <c r="L17" s="2">
        <v>3658.45</v>
      </c>
      <c r="N17" s="2"/>
      <c r="P17" s="46"/>
    </row>
    <row r="18" spans="1:16" ht="15" customHeight="1" thickBot="1" x14ac:dyDescent="0.3">
      <c r="E18" s="43">
        <f>SUM(E6:E17)</f>
        <v>0</v>
      </c>
      <c r="F18" s="374">
        <f>SUM(F6:F17)</f>
        <v>3864.8999999999996</v>
      </c>
      <c r="G18" s="375">
        <f>SUM(G17)</f>
        <v>13916.91</v>
      </c>
      <c r="H18" s="43">
        <f>SUM(H7:H16)</f>
        <v>0</v>
      </c>
      <c r="I18" s="43">
        <f>SUM(I7:I16)</f>
        <v>0</v>
      </c>
      <c r="J18" s="49"/>
      <c r="K18" s="377"/>
      <c r="L18" s="377">
        <f>SUM(L6:L17)</f>
        <v>7868.5099999999993</v>
      </c>
      <c r="M18" s="377">
        <f>SUM(M6:M16)</f>
        <v>220</v>
      </c>
      <c r="O18" s="46">
        <f t="shared" ref="O18:P18" si="3">SUM(O7:O16)</f>
        <v>258.18</v>
      </c>
      <c r="P18" s="46">
        <f t="shared" si="3"/>
        <v>1364.5000000000002</v>
      </c>
    </row>
    <row r="19" spans="1:16" ht="15" customHeight="1" thickTop="1" x14ac:dyDescent="0.25">
      <c r="F19" s="376"/>
      <c r="G19" s="377"/>
      <c r="H19" s="377"/>
      <c r="I19" s="377"/>
      <c r="J19" s="49"/>
      <c r="K19" s="377"/>
      <c r="L19" s="377"/>
      <c r="M19" s="377"/>
    </row>
    <row r="20" spans="1:16" s="5" customFormat="1" ht="15" customHeight="1" x14ac:dyDescent="0.25">
      <c r="A20" s="5" t="s">
        <v>8</v>
      </c>
      <c r="C20" s="392"/>
      <c r="D20" s="392"/>
      <c r="E20" s="384">
        <f>SUM(E18-E24)</f>
        <v>-220</v>
      </c>
      <c r="F20" s="385">
        <f>SUM(F18-F24)</f>
        <v>-4003.6099999999997</v>
      </c>
      <c r="G20" s="377"/>
      <c r="H20" s="377">
        <f>H18</f>
        <v>0</v>
      </c>
      <c r="I20" s="377">
        <f>I18</f>
        <v>0</v>
      </c>
      <c r="J20" s="48"/>
      <c r="K20" s="377"/>
      <c r="L20" s="377"/>
      <c r="M20" s="377"/>
      <c r="O20" s="378">
        <f t="shared" ref="O20" si="4">SUM(O18)</f>
        <v>258.18</v>
      </c>
      <c r="P20" s="378">
        <f>SUM(O20:O20)</f>
        <v>258.18</v>
      </c>
    </row>
    <row r="21" spans="1:16" ht="15" customHeight="1" x14ac:dyDescent="0.25">
      <c r="D21" s="393"/>
      <c r="J21" s="49"/>
    </row>
    <row r="22" spans="1:16" s="5" customFormat="1" ht="15" customHeight="1" x14ac:dyDescent="0.25">
      <c r="A22" s="5" t="s">
        <v>9</v>
      </c>
      <c r="C22" s="392"/>
      <c r="D22" s="392"/>
      <c r="E22" s="377"/>
      <c r="F22" s="376"/>
      <c r="G22" s="377"/>
      <c r="H22" s="377"/>
      <c r="I22" s="377"/>
      <c r="J22" s="48"/>
      <c r="K22" s="377"/>
      <c r="L22" s="377"/>
      <c r="M22" s="377"/>
      <c r="O22" s="44" t="s">
        <v>178</v>
      </c>
      <c r="P22" s="378">
        <f>SUM(P20)</f>
        <v>258.18</v>
      </c>
    </row>
    <row r="23" spans="1:16" ht="15" customHeight="1" x14ac:dyDescent="0.25"/>
    <row r="24" spans="1:16" s="369" customFormat="1" ht="15" customHeight="1" x14ac:dyDescent="0.25">
      <c r="A24" s="1"/>
      <c r="B24" s="1"/>
      <c r="C24" s="355"/>
      <c r="D24" s="355" t="s">
        <v>391</v>
      </c>
      <c r="E24" s="377">
        <f>SUM(E25:E27)</f>
        <v>220</v>
      </c>
      <c r="F24" s="376">
        <f>SUM(F25:F31)</f>
        <v>7868.5099999999993</v>
      </c>
      <c r="G24" s="2"/>
      <c r="H24" s="2"/>
      <c r="I24" s="2"/>
      <c r="J24" s="7"/>
      <c r="K24" s="2"/>
      <c r="L24" s="2"/>
      <c r="M24" s="2"/>
      <c r="O24" s="46"/>
      <c r="P24" s="1"/>
    </row>
    <row r="25" spans="1:16" x14ac:dyDescent="0.25">
      <c r="E25" s="2">
        <v>220</v>
      </c>
      <c r="F25" s="370">
        <v>206.45</v>
      </c>
    </row>
    <row r="26" spans="1:16" x14ac:dyDescent="0.25">
      <c r="F26" s="370">
        <v>1020</v>
      </c>
    </row>
    <row r="27" spans="1:16" x14ac:dyDescent="0.25">
      <c r="F27" s="370">
        <v>206</v>
      </c>
    </row>
    <row r="28" spans="1:16" x14ac:dyDescent="0.25">
      <c r="F28" s="370">
        <v>680.32</v>
      </c>
    </row>
    <row r="29" spans="1:16" x14ac:dyDescent="0.25">
      <c r="F29" s="370">
        <v>1097.29</v>
      </c>
    </row>
    <row r="30" spans="1:16" x14ac:dyDescent="0.25">
      <c r="F30" s="370">
        <v>1000</v>
      </c>
    </row>
    <row r="31" spans="1:16" x14ac:dyDescent="0.25">
      <c r="F31" s="370">
        <v>3658.45</v>
      </c>
    </row>
  </sheetData>
  <conditionalFormatting sqref="E12:E17">
    <cfRule type="expression" dxfId="22" priority="259">
      <formula>AND(#REF!&lt;&gt;$E12,$P12&lt;&gt;$E12)</formula>
    </cfRule>
  </conditionalFormatting>
  <conditionalFormatting sqref="G10 A12:F17 F9:L9 O7:XFD9 O7:P11 O12 P12:P17 G7:L8">
    <cfRule type="expression" dxfId="21" priority="9">
      <formula>LEFT(#REF!,1)="R"</formula>
    </cfRule>
  </conditionalFormatting>
  <conditionalFormatting sqref="G13:G17">
    <cfRule type="expression" dxfId="20" priority="5">
      <formula>LEFT(#REF!,1)="R"</formula>
    </cfRule>
  </conditionalFormatting>
  <conditionalFormatting sqref="H10:L17">
    <cfRule type="expression" dxfId="19" priority="1">
      <formula>LEFT(#REF!,1)="R"</formula>
    </cfRule>
  </conditionalFormatting>
  <conditionalFormatting sqref="J6:J8">
    <cfRule type="expression" dxfId="18" priority="17">
      <formula>LEFT(#REF!,1)="R"</formula>
    </cfRule>
  </conditionalFormatting>
  <conditionalFormatting sqref="M7:N7">
    <cfRule type="expression" dxfId="17" priority="12">
      <formula>LEFT(#REF!,1)="R"</formula>
    </cfRule>
  </conditionalFormatting>
  <conditionalFormatting sqref="M9:N10">
    <cfRule type="expression" dxfId="16" priority="10">
      <formula>LEFT(#REF!,1)="R"</formula>
    </cfRule>
  </conditionalFormatting>
  <conditionalFormatting sqref="M13:O17">
    <cfRule type="expression" dxfId="15" priority="2">
      <formula>LEFT(#REF!,1)="R"</formula>
    </cfRule>
  </conditionalFormatting>
  <conditionalFormatting sqref="E6">
    <cfRule type="expression" dxfId="14" priority="392">
      <formula>LEFT(#REF!,1)="R"</formula>
    </cfRule>
    <cfRule type="expression" dxfId="13" priority="393">
      <formula>AND($AO6&lt;&gt;$E6,$BA6&lt;&gt;$E6)</formula>
    </cfRule>
  </conditionalFormatting>
  <dataValidations count="1">
    <dataValidation type="list" allowBlank="1" showInputMessage="1" showErrorMessage="1" sqref="H7:H15" xr:uid="{B65442B9-9390-490A-9A4F-FBFD2003CC06}">
      <formula1>"BACS, DD, CHQ, SO"</formula1>
    </dataValidation>
  </dataValidations>
  <pageMargins left="0.70866141732283472" right="0.70866141732283472" top="0.74803149606299213" bottom="0.74803149606299213" header="0.31496062992125984" footer="0.31496062992125984"/>
  <pageSetup paperSize="9" scale="67" fitToHeight="0" orientation="landscape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pageSetUpPr fitToPage="1"/>
  </sheetPr>
  <dimension ref="A1:I40"/>
  <sheetViews>
    <sheetView topLeftCell="A4" zoomScale="80" zoomScaleNormal="80" workbookViewId="0">
      <selection activeCell="F30" sqref="F30"/>
    </sheetView>
  </sheetViews>
  <sheetFormatPr defaultColWidth="8.7109375" defaultRowHeight="15.75" x14ac:dyDescent="0.25"/>
  <cols>
    <col min="1" max="1" width="54.140625" style="52" customWidth="1"/>
    <col min="2" max="2" width="13.42578125" style="52" customWidth="1"/>
    <col min="3" max="3" width="19.140625" style="64" bestFit="1" customWidth="1"/>
    <col min="4" max="4" width="15.5703125" style="54" customWidth="1"/>
    <col min="5" max="5" width="17.28515625" style="52" customWidth="1"/>
    <col min="6" max="6" width="52.85546875" style="52" customWidth="1"/>
    <col min="7" max="7" width="8.7109375" style="52"/>
    <col min="8" max="8" width="21.5703125" style="52" customWidth="1"/>
    <col min="9" max="9" width="17.7109375" style="52" customWidth="1"/>
    <col min="10" max="16384" width="8.7109375" style="52"/>
  </cols>
  <sheetData>
    <row r="1" spans="1:4" x14ac:dyDescent="0.25">
      <c r="A1" s="490" t="s">
        <v>126</v>
      </c>
      <c r="B1" s="490"/>
      <c r="C1" s="490"/>
      <c r="D1" s="490"/>
    </row>
    <row r="2" spans="1:4" x14ac:dyDescent="0.25">
      <c r="A2" s="490" t="s">
        <v>77</v>
      </c>
      <c r="B2" s="490"/>
      <c r="C2" s="490"/>
      <c r="D2" s="490"/>
    </row>
    <row r="4" spans="1:4" x14ac:dyDescent="0.25">
      <c r="A4" s="53" t="s">
        <v>158</v>
      </c>
      <c r="B4" s="53"/>
      <c r="C4" s="54"/>
    </row>
    <row r="5" spans="1:4" x14ac:dyDescent="0.25">
      <c r="A5" s="55"/>
      <c r="B5" s="55"/>
      <c r="C5" s="54"/>
    </row>
    <row r="6" spans="1:4" x14ac:dyDescent="0.25">
      <c r="A6" s="55" t="s">
        <v>42</v>
      </c>
      <c r="B6" s="55"/>
      <c r="C6" s="56">
        <v>45747</v>
      </c>
    </row>
    <row r="7" spans="1:4" x14ac:dyDescent="0.25">
      <c r="A7" s="55"/>
      <c r="B7" s="55"/>
      <c r="C7" s="54"/>
    </row>
    <row r="8" spans="1:4" x14ac:dyDescent="0.25">
      <c r="A8" s="159" t="s">
        <v>120</v>
      </c>
      <c r="B8" s="285">
        <v>45747</v>
      </c>
      <c r="C8" s="54"/>
    </row>
    <row r="9" spans="1:4" x14ac:dyDescent="0.25">
      <c r="A9" s="57"/>
      <c r="B9" s="57"/>
      <c r="C9" s="54"/>
    </row>
    <row r="10" spans="1:4" x14ac:dyDescent="0.25">
      <c r="A10" s="55" t="s">
        <v>41</v>
      </c>
      <c r="B10" s="55"/>
      <c r="C10" s="58">
        <v>1000</v>
      </c>
    </row>
    <row r="11" spans="1:4" x14ac:dyDescent="0.25">
      <c r="A11" s="55" t="s">
        <v>123</v>
      </c>
      <c r="B11" s="55"/>
      <c r="C11" s="58">
        <v>14621.65</v>
      </c>
    </row>
    <row r="12" spans="1:4" x14ac:dyDescent="0.25">
      <c r="A12" s="55"/>
      <c r="B12" s="55"/>
      <c r="C12" s="59"/>
      <c r="D12" s="54">
        <f>SUM(C10:C11)</f>
        <v>15621.65</v>
      </c>
    </row>
    <row r="13" spans="1:4" x14ac:dyDescent="0.25">
      <c r="A13" s="55"/>
      <c r="B13" s="55"/>
      <c r="C13" s="54"/>
    </row>
    <row r="14" spans="1:4" x14ac:dyDescent="0.25">
      <c r="A14" s="55" t="s">
        <v>16</v>
      </c>
      <c r="B14" s="55"/>
      <c r="C14" s="54"/>
    </row>
    <row r="15" spans="1:4" x14ac:dyDescent="0.25">
      <c r="A15" s="55" t="s">
        <v>17</v>
      </c>
      <c r="B15" s="60"/>
      <c r="C15" s="61">
        <v>0</v>
      </c>
    </row>
    <row r="16" spans="1:4" x14ac:dyDescent="0.25">
      <c r="A16" s="55"/>
      <c r="B16" s="55"/>
      <c r="C16" s="55"/>
    </row>
    <row r="17" spans="1:4" x14ac:dyDescent="0.25">
      <c r="A17" s="55"/>
      <c r="B17" s="60"/>
      <c r="C17" s="61"/>
    </row>
    <row r="18" spans="1:4" x14ac:dyDescent="0.25">
      <c r="A18" s="55"/>
      <c r="B18" s="55"/>
      <c r="C18" s="59"/>
      <c r="D18" s="54">
        <f>SUM(C14:C17)</f>
        <v>0</v>
      </c>
    </row>
    <row r="19" spans="1:4" x14ac:dyDescent="0.25">
      <c r="A19" s="55"/>
      <c r="B19" s="55"/>
      <c r="C19" s="54"/>
    </row>
    <row r="20" spans="1:4" ht="16.5" thickBot="1" x14ac:dyDescent="0.3">
      <c r="A20" s="158" t="s">
        <v>121</v>
      </c>
      <c r="B20" s="286">
        <f>SUM(B8)</f>
        <v>45747</v>
      </c>
      <c r="C20" s="54"/>
      <c r="D20" s="62">
        <f>+D12-D18</f>
        <v>15621.65</v>
      </c>
    </row>
    <row r="21" spans="1:4" ht="16.5" thickTop="1" x14ac:dyDescent="0.25">
      <c r="A21" s="55"/>
      <c r="B21" s="55"/>
      <c r="C21" s="54"/>
    </row>
    <row r="22" spans="1:4" x14ac:dyDescent="0.25">
      <c r="A22" s="55"/>
      <c r="B22" s="55"/>
      <c r="C22" s="54"/>
      <c r="D22" s="63"/>
    </row>
    <row r="23" spans="1:4" x14ac:dyDescent="0.25">
      <c r="A23" s="53" t="s">
        <v>18</v>
      </c>
      <c r="B23" s="55"/>
      <c r="C23" s="54"/>
      <c r="D23" s="63"/>
    </row>
    <row r="24" spans="1:4" x14ac:dyDescent="0.25">
      <c r="A24" s="55"/>
      <c r="B24" s="55"/>
      <c r="C24" s="54"/>
      <c r="D24" s="63"/>
    </row>
    <row r="25" spans="1:4" x14ac:dyDescent="0.25">
      <c r="A25" s="55" t="s">
        <v>159</v>
      </c>
      <c r="B25" s="55"/>
      <c r="C25" s="54"/>
      <c r="D25" s="151">
        <v>7260.44</v>
      </c>
    </row>
    <row r="26" spans="1:4" x14ac:dyDescent="0.25">
      <c r="A26" s="55" t="s">
        <v>160</v>
      </c>
      <c r="B26" s="55"/>
      <c r="C26" s="54"/>
      <c r="D26" s="151">
        <v>18652.080000000002</v>
      </c>
    </row>
    <row r="27" spans="1:4" x14ac:dyDescent="0.25">
      <c r="A27" s="53" t="s">
        <v>78</v>
      </c>
      <c r="B27" s="53"/>
      <c r="C27" s="63"/>
      <c r="D27" s="152">
        <f>SUM(D25:D26)</f>
        <v>25912.52</v>
      </c>
    </row>
    <row r="28" spans="1:4" x14ac:dyDescent="0.25">
      <c r="A28" s="55" t="s">
        <v>383</v>
      </c>
      <c r="B28" s="55"/>
      <c r="C28" s="54"/>
      <c r="D28" s="58">
        <f>SUM(Cashbook!E234)</f>
        <v>0</v>
      </c>
    </row>
    <row r="29" spans="1:4" x14ac:dyDescent="0.25">
      <c r="A29" s="55" t="s">
        <v>390</v>
      </c>
      <c r="B29" s="55"/>
      <c r="C29" s="54"/>
      <c r="D29" s="58">
        <f>SUM(Reserves!E18)</f>
        <v>0</v>
      </c>
    </row>
    <row r="30" spans="1:4" x14ac:dyDescent="0.25">
      <c r="A30" s="55" t="s">
        <v>384</v>
      </c>
      <c r="B30" s="55"/>
      <c r="C30" s="54"/>
      <c r="D30" s="58">
        <f>SUM(Cashbook!F234)</f>
        <v>0</v>
      </c>
    </row>
    <row r="31" spans="1:4" x14ac:dyDescent="0.25">
      <c r="A31" s="55" t="s">
        <v>385</v>
      </c>
      <c r="B31" s="55"/>
      <c r="C31" s="54"/>
      <c r="D31" s="58">
        <f>SUM(Reserves!F18)</f>
        <v>3864.8999999999996</v>
      </c>
    </row>
    <row r="32" spans="1:4" x14ac:dyDescent="0.25">
      <c r="A32" s="55"/>
      <c r="B32" s="55"/>
      <c r="C32" s="54"/>
      <c r="D32" s="63"/>
    </row>
    <row r="33" spans="1:9" s="55" customFormat="1" ht="16.5" thickBot="1" x14ac:dyDescent="0.3">
      <c r="A33" s="158" t="s">
        <v>122</v>
      </c>
      <c r="B33" s="287">
        <f>SUM(B8)</f>
        <v>45747</v>
      </c>
      <c r="C33" s="54"/>
      <c r="D33" s="62">
        <f>+D27+D28+D29-D30-D31</f>
        <v>22047.620000000003</v>
      </c>
      <c r="F33" s="52"/>
      <c r="G33" s="52"/>
      <c r="H33" s="52"/>
      <c r="I33" s="52"/>
    </row>
    <row r="34" spans="1:9" ht="16.5" thickTop="1" x14ac:dyDescent="0.25"/>
    <row r="35" spans="1:9" x14ac:dyDescent="0.25">
      <c r="A35" s="55"/>
      <c r="B35" s="55"/>
    </row>
    <row r="36" spans="1:9" x14ac:dyDescent="0.25">
      <c r="A36" s="55"/>
      <c r="B36" s="55"/>
      <c r="D36" s="54">
        <f>D33-D20</f>
        <v>6425.970000000003</v>
      </c>
    </row>
    <row r="37" spans="1:9" x14ac:dyDescent="0.25">
      <c r="A37" s="55"/>
      <c r="B37" s="55"/>
    </row>
    <row r="40" spans="1:9" x14ac:dyDescent="0.25">
      <c r="A40" s="53"/>
      <c r="B40" s="53"/>
    </row>
  </sheetData>
  <mergeCells count="2">
    <mergeCell ref="A1:D1"/>
    <mergeCell ref="A2:D2"/>
  </mergeCells>
  <pageMargins left="0.70866141732283472" right="0.70866141732283472" top="0.74803149606299213" bottom="0.74803149606299213" header="0.31496062992125984" footer="0.31496062992125984"/>
  <pageSetup paperSize="9" scale="88" orientation="portrait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>
    <pageSetUpPr fitToPage="1"/>
  </sheetPr>
  <dimension ref="A1:S277"/>
  <sheetViews>
    <sheetView topLeftCell="A40" zoomScale="90" zoomScaleNormal="90" workbookViewId="0">
      <selection activeCell="F30" sqref="F30"/>
    </sheetView>
  </sheetViews>
  <sheetFormatPr defaultColWidth="12.5703125" defaultRowHeight="18.75" x14ac:dyDescent="0.3"/>
  <cols>
    <col min="1" max="1" width="43" style="16" customWidth="1"/>
    <col min="2" max="2" width="17.28515625" style="10" customWidth="1"/>
    <col min="3" max="3" width="16.28515625" style="40" bestFit="1" customWidth="1"/>
    <col min="4" max="4" width="16" style="41" bestFit="1" customWidth="1"/>
    <col min="5" max="6" width="12.5703125" style="23"/>
    <col min="7" max="7" width="14.28515625" style="22" bestFit="1" customWidth="1"/>
    <col min="8" max="8" width="14.28515625" style="22" hidden="1" customWidth="1"/>
    <col min="9" max="9" width="14.28515625" style="22" customWidth="1"/>
    <col min="10" max="10" width="12.7109375" style="22" bestFit="1" customWidth="1"/>
    <col min="11" max="11" width="10.5703125" style="22" bestFit="1" customWidth="1"/>
    <col min="12" max="12" width="13.85546875" style="22" customWidth="1"/>
    <col min="13" max="13" width="10.5703125" style="22" bestFit="1" customWidth="1"/>
    <col min="14" max="14" width="13.42578125" style="22" customWidth="1"/>
    <col min="15" max="15" width="12.7109375" style="22" customWidth="1"/>
    <col min="16" max="16" width="10.5703125" style="22" bestFit="1" customWidth="1"/>
    <col min="17" max="17" width="12.7109375" style="22" bestFit="1" customWidth="1"/>
    <col min="18" max="18" width="11.85546875" style="22" bestFit="1" customWidth="1"/>
    <col min="19" max="19" width="11.5703125" style="22" customWidth="1"/>
    <col min="20" max="20" width="15.7109375" style="16" bestFit="1" customWidth="1"/>
    <col min="21" max="21" width="10.5703125" style="16" bestFit="1" customWidth="1"/>
    <col min="22" max="16384" width="12.5703125" style="16"/>
  </cols>
  <sheetData>
    <row r="1" spans="1:19" s="20" customFormat="1" x14ac:dyDescent="0.3">
      <c r="A1" s="491" t="s">
        <v>126</v>
      </c>
      <c r="B1" s="491"/>
      <c r="C1" s="491"/>
      <c r="D1" s="491"/>
      <c r="E1" s="19"/>
      <c r="F1" s="19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19" s="20" customFormat="1" x14ac:dyDescent="0.3">
      <c r="A2" s="491" t="s">
        <v>161</v>
      </c>
      <c r="B2" s="491"/>
      <c r="C2" s="491"/>
      <c r="D2" s="491"/>
      <c r="E2" s="19"/>
      <c r="F2" s="19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s="20" customFormat="1" x14ac:dyDescent="0.3">
      <c r="A3" s="492"/>
      <c r="B3" s="492"/>
      <c r="C3" s="492"/>
      <c r="D3" s="492"/>
      <c r="E3" s="19"/>
      <c r="F3" s="19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19" s="20" customFormat="1" x14ac:dyDescent="0.3">
      <c r="A4" s="45"/>
      <c r="B4" s="8" t="s">
        <v>141</v>
      </c>
      <c r="C4" s="40" t="s">
        <v>19</v>
      </c>
      <c r="D4" s="65" t="s">
        <v>75</v>
      </c>
      <c r="E4" s="19"/>
      <c r="F4" s="19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5" spans="1:19" s="20" customFormat="1" x14ac:dyDescent="0.3">
      <c r="A5" s="21" t="s">
        <v>20</v>
      </c>
      <c r="B5" s="9"/>
      <c r="C5" s="66" t="s">
        <v>141</v>
      </c>
      <c r="D5" s="67"/>
      <c r="E5" s="19"/>
      <c r="F5" s="19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</row>
    <row r="6" spans="1:19" x14ac:dyDescent="0.3">
      <c r="A6" s="24" t="s">
        <v>5</v>
      </c>
      <c r="B6" s="10" t="e">
        <f>SUM('2024-25 Running'!I6)</f>
        <v>#REF!</v>
      </c>
      <c r="C6" s="40">
        <f>SUM('2024-25 Running'!E6)</f>
        <v>12500</v>
      </c>
      <c r="D6" s="68">
        <f>SUM('2024-25 Running'!A6)</f>
        <v>11100</v>
      </c>
    </row>
    <row r="7" spans="1:19" x14ac:dyDescent="0.3">
      <c r="A7" s="24" t="s">
        <v>171</v>
      </c>
      <c r="B7" s="10" t="e">
        <f>SUM('2024-25 Running'!I7)</f>
        <v>#REF!</v>
      </c>
      <c r="C7" s="40">
        <f>SUM('2024-25 Running'!E7)</f>
        <v>20</v>
      </c>
      <c r="D7" s="68">
        <f>SUM('2024-25 Running'!A7)</f>
        <v>0</v>
      </c>
    </row>
    <row r="8" spans="1:19" x14ac:dyDescent="0.3">
      <c r="A8" s="24" t="s">
        <v>125</v>
      </c>
      <c r="B8" s="10" t="e">
        <f>SUM('2024-25 Running'!I8)</f>
        <v>#REF!</v>
      </c>
      <c r="C8" s="40">
        <f>SUM('2024-25 Running'!E8)</f>
        <v>0</v>
      </c>
      <c r="D8" s="68">
        <f>SUM('2024-25 Running'!A8)</f>
        <v>500</v>
      </c>
    </row>
    <row r="9" spans="1:19" x14ac:dyDescent="0.3">
      <c r="A9" s="24" t="s">
        <v>137</v>
      </c>
      <c r="B9" s="10">
        <f>SUM('2024-25 Running'!I9)</f>
        <v>0</v>
      </c>
      <c r="C9" s="40">
        <f>SUM('2024-25 Running'!E9)</f>
        <v>500</v>
      </c>
      <c r="D9" s="68">
        <f>SUM('2024-25 Running'!A9)</f>
        <v>0</v>
      </c>
    </row>
    <row r="10" spans="1:19" x14ac:dyDescent="0.3">
      <c r="A10" s="24" t="s">
        <v>45</v>
      </c>
      <c r="B10" s="10" t="e">
        <f>SUM('2024-25 Running'!I10)</f>
        <v>#REF!</v>
      </c>
      <c r="C10" s="40">
        <f>SUM('2024-25 Running'!E10)</f>
        <v>150</v>
      </c>
      <c r="D10" s="68">
        <f>SUM('2024-25 Running'!A10)</f>
        <v>204.15</v>
      </c>
    </row>
    <row r="11" spans="1:19" x14ac:dyDescent="0.3">
      <c r="A11" s="24" t="s">
        <v>6</v>
      </c>
      <c r="B11" s="10">
        <f>SUM('2024-25 Running'!I12)</f>
        <v>258.18</v>
      </c>
      <c r="C11" s="40">
        <f>SUM('2024-25 Running'!E12)</f>
        <v>140</v>
      </c>
      <c r="D11" s="68">
        <f>SUM('2024-25 Running'!A12)</f>
        <v>203.54</v>
      </c>
    </row>
    <row r="12" spans="1:19" x14ac:dyDescent="0.3">
      <c r="A12" s="24" t="s">
        <v>109</v>
      </c>
      <c r="B12" s="10" t="e">
        <f>SUM('2024-25 Running'!I13)</f>
        <v>#REF!</v>
      </c>
      <c r="C12" s="40">
        <f>SUM('2024-25 Running'!E13)</f>
        <v>0</v>
      </c>
      <c r="D12" s="68">
        <f>SUM('2024-25 Running'!A13)</f>
        <v>2056.96</v>
      </c>
      <c r="G12" s="22">
        <v>1226.45</v>
      </c>
      <c r="I12" s="22" t="s">
        <v>389</v>
      </c>
    </row>
    <row r="13" spans="1:19" x14ac:dyDescent="0.3">
      <c r="A13" s="24" t="s">
        <v>138</v>
      </c>
      <c r="B13" s="10" t="e">
        <f>SUM('Hall 2024-25 Running'!I6)</f>
        <v>#REF!</v>
      </c>
      <c r="C13" s="40">
        <f>SUM('Hall 2024-25 Running'!E6)</f>
        <v>5700</v>
      </c>
      <c r="D13" s="68">
        <f>SUM('Hall 2024-25 Running'!A6)</f>
        <v>0</v>
      </c>
    </row>
    <row r="14" spans="1:19" x14ac:dyDescent="0.3">
      <c r="A14" s="24" t="s">
        <v>140</v>
      </c>
      <c r="B14" s="10" t="e">
        <f>SUM('Hall 2024-25 Running'!I7)</f>
        <v>#REF!</v>
      </c>
      <c r="C14" s="40">
        <f>SUM('Hall 2024-25 Running'!E7)</f>
        <v>3050</v>
      </c>
      <c r="D14" s="68">
        <f>SUM('Hall 2024-25 Running'!A7)</f>
        <v>0</v>
      </c>
    </row>
    <row r="15" spans="1:19" x14ac:dyDescent="0.3">
      <c r="A15" s="24" t="s">
        <v>139</v>
      </c>
      <c r="B15" s="10" t="e">
        <f>SUM('Hall 2024-25 Running'!I8)</f>
        <v>#REF!</v>
      </c>
      <c r="C15" s="40">
        <f>SUM('Hall 2024-25 Running'!E8)</f>
        <v>150</v>
      </c>
      <c r="D15" s="68">
        <f>SUM('Hall 2024-25 Running'!A8)</f>
        <v>0</v>
      </c>
    </row>
    <row r="16" spans="1:19" x14ac:dyDescent="0.3">
      <c r="A16" s="24" t="s">
        <v>172</v>
      </c>
      <c r="B16" s="10" t="e">
        <f>SUM('Hall 2024-25 Running'!I9)</f>
        <v>#REF!</v>
      </c>
      <c r="C16" s="40">
        <f>SUM('Hall 2024-25 Running'!E9)</f>
        <v>3875</v>
      </c>
      <c r="D16" s="68">
        <f>SUM('Hall 2024-25 Running'!A9)</f>
        <v>0</v>
      </c>
    </row>
    <row r="17" spans="1:19" s="20" customFormat="1" ht="19.5" thickBot="1" x14ac:dyDescent="0.35">
      <c r="A17" s="21" t="s">
        <v>21</v>
      </c>
      <c r="B17" s="11" t="e">
        <f>SUM(B6:B16)</f>
        <v>#REF!</v>
      </c>
      <c r="C17" s="69">
        <f>SUM(C6:C16)</f>
        <v>26085</v>
      </c>
      <c r="D17" s="153">
        <f>SUM(D6:D16)</f>
        <v>14064.650000000001</v>
      </c>
      <c r="E17" s="19"/>
      <c r="F17" s="19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</row>
    <row r="18" spans="1:19" ht="19.5" thickTop="1" x14ac:dyDescent="0.3"/>
    <row r="19" spans="1:19" s="20" customFormat="1" x14ac:dyDescent="0.3">
      <c r="A19" s="25" t="s">
        <v>22</v>
      </c>
      <c r="B19" s="9"/>
      <c r="C19" s="70"/>
      <c r="D19" s="67"/>
      <c r="E19" s="19"/>
      <c r="F19" s="19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</row>
    <row r="20" spans="1:19" x14ac:dyDescent="0.3">
      <c r="A20" s="24" t="s">
        <v>13</v>
      </c>
      <c r="B20" s="39" t="e">
        <f>SUM('2024-25 Running'!I17)</f>
        <v>#REF!</v>
      </c>
      <c r="C20" s="40">
        <f>SUM('2024-25 Running'!E17)</f>
        <v>6067</v>
      </c>
      <c r="D20" s="40">
        <f>SUM('2024-25 Running'!A17)</f>
        <v>5456.64</v>
      </c>
    </row>
    <row r="21" spans="1:19" x14ac:dyDescent="0.3">
      <c r="A21" s="24" t="s">
        <v>173</v>
      </c>
      <c r="B21" s="39" t="e">
        <f>SUM('2024-25 Running'!I18)</f>
        <v>#REF!</v>
      </c>
      <c r="C21" s="40">
        <f>SUM('2024-25 Running'!E18)</f>
        <v>312</v>
      </c>
      <c r="D21" s="40">
        <f>SUM('2024-25 Running'!A18)</f>
        <v>312</v>
      </c>
    </row>
    <row r="22" spans="1:19" x14ac:dyDescent="0.3">
      <c r="A22" s="24" t="s">
        <v>174</v>
      </c>
      <c r="B22" s="39" t="e">
        <f>SUM('2024-25 Running'!I19)</f>
        <v>#REF!</v>
      </c>
      <c r="C22" s="40">
        <f>SUM('2024-25 Running'!E19)</f>
        <v>202</v>
      </c>
      <c r="D22" s="40">
        <f>SUM('2024-25 Running'!A19)</f>
        <v>167.54</v>
      </c>
    </row>
    <row r="23" spans="1:19" x14ac:dyDescent="0.3">
      <c r="A23" s="24" t="s">
        <v>147</v>
      </c>
      <c r="B23" s="39" t="e">
        <f>SUM('2024-25 Running'!I20)</f>
        <v>#REF!</v>
      </c>
      <c r="C23" s="40">
        <f>SUM('2024-25 Running'!E20)</f>
        <v>170</v>
      </c>
      <c r="D23" s="40">
        <f>SUM('2024-25 Running'!A20)</f>
        <v>334</v>
      </c>
    </row>
    <row r="24" spans="1:19" x14ac:dyDescent="0.3">
      <c r="A24" s="24" t="s">
        <v>148</v>
      </c>
      <c r="B24" s="39" t="e">
        <f>SUM('2024-25 Running'!I21)</f>
        <v>#REF!</v>
      </c>
      <c r="C24" s="40">
        <f>SUM('2024-25 Running'!E21)</f>
        <v>60</v>
      </c>
      <c r="D24" s="40">
        <f>SUM('2024-25 Running'!A21)</f>
        <v>86.3</v>
      </c>
    </row>
    <row r="25" spans="1:19" x14ac:dyDescent="0.3">
      <c r="A25" s="24" t="s">
        <v>149</v>
      </c>
      <c r="B25" s="39" t="e">
        <f>SUM('2024-25 Running'!I22)</f>
        <v>#REF!</v>
      </c>
      <c r="C25" s="40">
        <f>SUM('2024-25 Running'!E22)</f>
        <v>110</v>
      </c>
      <c r="D25" s="40">
        <f>SUM('2024-25 Running'!A22)</f>
        <v>215</v>
      </c>
    </row>
    <row r="26" spans="1:19" x14ac:dyDescent="0.3">
      <c r="A26" s="24" t="s">
        <v>44</v>
      </c>
      <c r="B26" s="39" t="e">
        <f>SUM('2024-25 Running'!I23)</f>
        <v>#REF!</v>
      </c>
      <c r="C26" s="40">
        <f>SUM('2024-25 Running'!E23)</f>
        <v>270</v>
      </c>
      <c r="D26" s="40">
        <f>SUM('2024-25 Running'!A23)</f>
        <v>250.5</v>
      </c>
    </row>
    <row r="27" spans="1:19" x14ac:dyDescent="0.3">
      <c r="A27" s="24" t="s">
        <v>157</v>
      </c>
      <c r="B27" s="39" t="e">
        <f>SUM('2024-25 Running'!I24)</f>
        <v>#REF!</v>
      </c>
      <c r="C27" s="40">
        <f>SUM('2024-25 Running'!E24)</f>
        <v>85</v>
      </c>
      <c r="D27" s="40">
        <f>SUM('2024-25 Running'!A24)</f>
        <v>49.99</v>
      </c>
    </row>
    <row r="28" spans="1:19" x14ac:dyDescent="0.3">
      <c r="A28" s="24" t="s">
        <v>175</v>
      </c>
      <c r="B28" s="39" t="e">
        <f>SUM('2024-25 Running'!I25)</f>
        <v>#REF!</v>
      </c>
      <c r="C28" s="40">
        <f>SUM('2024-25 Running'!E25)</f>
        <v>350</v>
      </c>
      <c r="D28" s="40">
        <f>SUM('2024-25 Running'!A25)</f>
        <v>222.83</v>
      </c>
    </row>
    <row r="29" spans="1:19" x14ac:dyDescent="0.3">
      <c r="A29" s="24" t="s">
        <v>150</v>
      </c>
      <c r="B29" s="39" t="e">
        <f>SUM('2024-25 Running'!I26)</f>
        <v>#REF!</v>
      </c>
      <c r="C29" s="40">
        <f>SUM('2024-25 Running'!E26)</f>
        <v>125</v>
      </c>
      <c r="D29" s="40">
        <f>SUM('2024-25 Running'!A26)</f>
        <v>118.03</v>
      </c>
    </row>
    <row r="30" spans="1:19" x14ac:dyDescent="0.3">
      <c r="A30" s="24" t="s">
        <v>151</v>
      </c>
      <c r="B30" s="39" t="e">
        <f>SUM('2024-25 Running'!I27)</f>
        <v>#REF!</v>
      </c>
      <c r="C30" s="40">
        <f>SUM('2024-25 Running'!E27)</f>
        <v>70</v>
      </c>
      <c r="D30" s="40">
        <f>SUM('2024-25 Running'!A27)</f>
        <v>61.94</v>
      </c>
    </row>
    <row r="31" spans="1:19" x14ac:dyDescent="0.3">
      <c r="A31" s="24" t="s">
        <v>152</v>
      </c>
      <c r="B31" s="39" t="e">
        <f>SUM('2024-25 Running'!I28)</f>
        <v>#REF!</v>
      </c>
      <c r="C31" s="40">
        <f>SUM('2024-25 Running'!E28)</f>
        <v>200</v>
      </c>
      <c r="D31" s="40">
        <f>SUM('2024-25 Running'!A28)</f>
        <v>92</v>
      </c>
    </row>
    <row r="32" spans="1:19" x14ac:dyDescent="0.3">
      <c r="A32" s="24" t="s">
        <v>65</v>
      </c>
      <c r="B32" s="39" t="e">
        <f>SUM('2024-25 Running'!I29)</f>
        <v>#REF!</v>
      </c>
      <c r="C32" s="40">
        <f>SUM('2024-25 Running'!E29)</f>
        <v>75</v>
      </c>
      <c r="D32" s="40">
        <f>SUM('2024-25 Running'!A29)</f>
        <v>70</v>
      </c>
    </row>
    <row r="33" spans="1:19" x14ac:dyDescent="0.3">
      <c r="A33" s="24" t="s">
        <v>64</v>
      </c>
      <c r="B33" s="39" t="e">
        <f>SUM('2024-25 Running'!I30)</f>
        <v>#REF!</v>
      </c>
      <c r="C33" s="40">
        <f>SUM('2024-25 Running'!E30)</f>
        <v>210</v>
      </c>
      <c r="D33" s="40">
        <f>SUM('2024-25 Running'!A30)</f>
        <v>0</v>
      </c>
    </row>
    <row r="34" spans="1:19" x14ac:dyDescent="0.3">
      <c r="A34" s="24" t="s">
        <v>153</v>
      </c>
      <c r="B34" s="39" t="e">
        <f>SUM('2024-25 Running'!I31)</f>
        <v>#REF!</v>
      </c>
      <c r="C34" s="40">
        <f>SUM('2024-25 Running'!E31)</f>
        <v>100</v>
      </c>
      <c r="D34" s="40">
        <f>SUM('2024-25 Running'!A31)</f>
        <v>7307.65</v>
      </c>
      <c r="G34" s="87"/>
    </row>
    <row r="35" spans="1:19" x14ac:dyDescent="0.3">
      <c r="A35" s="24" t="s">
        <v>155</v>
      </c>
      <c r="B35" s="39" t="e">
        <f>SUM('2024-25 Running'!I32)</f>
        <v>#REF!</v>
      </c>
      <c r="C35" s="40">
        <f>SUM('2024-25 Running'!E32)</f>
        <v>100</v>
      </c>
      <c r="D35" s="40">
        <f>SUM('2024-25 Running'!A32)</f>
        <v>0</v>
      </c>
      <c r="G35" s="87"/>
    </row>
    <row r="36" spans="1:19" x14ac:dyDescent="0.3">
      <c r="A36" s="24" t="s">
        <v>137</v>
      </c>
      <c r="B36" s="39" t="e">
        <f>SUM('2024-25 Running'!I33)</f>
        <v>#REF!</v>
      </c>
      <c r="C36" s="40">
        <f>SUM('2024-25 Running'!E33)</f>
        <v>500</v>
      </c>
      <c r="D36" s="40">
        <f>SUM('2024-25 Running'!A33)</f>
        <v>0</v>
      </c>
      <c r="G36" s="87"/>
    </row>
    <row r="37" spans="1:19" x14ac:dyDescent="0.3">
      <c r="A37" s="24" t="s">
        <v>154</v>
      </c>
      <c r="B37" s="39" t="e">
        <f>SUM('2024-25 Running'!I34)</f>
        <v>#REF!</v>
      </c>
      <c r="C37" s="40">
        <f>SUM('2024-25 Running'!E34)</f>
        <v>400</v>
      </c>
      <c r="D37" s="40">
        <f>SUM('2024-25 Running'!A34)</f>
        <v>129</v>
      </c>
      <c r="G37" s="87"/>
    </row>
    <row r="38" spans="1:19" x14ac:dyDescent="0.3">
      <c r="A38" s="24" t="s">
        <v>15</v>
      </c>
      <c r="B38" s="39" t="e">
        <f>SUM('2024-25 Running'!I35)</f>
        <v>#REF!</v>
      </c>
      <c r="C38" s="40">
        <f>SUM('2024-25 Running'!E35)</f>
        <v>700</v>
      </c>
      <c r="D38" s="40">
        <f>SUM('2024-25 Running'!A35)</f>
        <v>684.96</v>
      </c>
      <c r="G38" s="87">
        <v>1226.45</v>
      </c>
      <c r="I38" s="22" t="s">
        <v>389</v>
      </c>
    </row>
    <row r="39" spans="1:19" x14ac:dyDescent="0.3">
      <c r="A39" s="24" t="s">
        <v>63</v>
      </c>
      <c r="B39" s="39" t="e">
        <f>SUM('2024-25 Running'!I36)</f>
        <v>#REF!</v>
      </c>
      <c r="C39" s="40">
        <f>SUM('2024-25 Running'!E36)</f>
        <v>0</v>
      </c>
      <c r="D39" s="40">
        <f>SUM('2024-25 Running'!A36)</f>
        <v>0</v>
      </c>
      <c r="G39" s="87"/>
    </row>
    <row r="40" spans="1:19" x14ac:dyDescent="0.3">
      <c r="A40" s="24" t="s">
        <v>79</v>
      </c>
      <c r="B40" s="39" t="e">
        <f>SUM('2024-25 Running'!I38)</f>
        <v>#REF!</v>
      </c>
      <c r="C40" s="40">
        <f>SUM('2024-25 Running'!E38)</f>
        <v>150</v>
      </c>
      <c r="D40" s="40">
        <f>SUM('2024-25 Running'!A38)</f>
        <v>0</v>
      </c>
    </row>
    <row r="41" spans="1:19" x14ac:dyDescent="0.3">
      <c r="A41" s="24" t="s">
        <v>111</v>
      </c>
      <c r="B41" s="39" t="e">
        <f>SUM('2024-25 Running'!I39)</f>
        <v>#REF!</v>
      </c>
      <c r="C41" s="40">
        <f>SUM('2024-25 Running'!E39)</f>
        <v>500</v>
      </c>
      <c r="D41" s="40">
        <f>SUM('2024-25 Running'!A39)</f>
        <v>200</v>
      </c>
    </row>
    <row r="42" spans="1:19" x14ac:dyDescent="0.3">
      <c r="A42" s="24" t="s">
        <v>176</v>
      </c>
      <c r="B42" s="39" t="e">
        <f>SUM('Hall 2024-25 Running'!I13)</f>
        <v>#REF!</v>
      </c>
      <c r="C42" s="40">
        <f>SUM('Hall 2024-25 Running'!E13)</f>
        <v>1600</v>
      </c>
      <c r="D42" s="40">
        <f>SUM('Hall 2024-25 Running'!A13)</f>
        <v>0</v>
      </c>
    </row>
    <row r="43" spans="1:19" x14ac:dyDescent="0.3">
      <c r="A43" s="24" t="s">
        <v>177</v>
      </c>
      <c r="B43" s="39" t="e">
        <f>SUM('Hall 2024-25 Running'!I14)</f>
        <v>#REF!</v>
      </c>
      <c r="C43" s="40">
        <f>SUM('Hall 2024-25 Running'!E14)</f>
        <v>10000</v>
      </c>
      <c r="D43" s="40">
        <f>SUM('Hall 2024-25 Running'!A14)</f>
        <v>0</v>
      </c>
    </row>
    <row r="44" spans="1:19" x14ac:dyDescent="0.3">
      <c r="A44" s="24" t="s">
        <v>134</v>
      </c>
      <c r="B44" s="39" t="e">
        <f>SUM('Hall 2024-25 Running'!I15)</f>
        <v>#REF!</v>
      </c>
      <c r="C44" s="40">
        <f>SUM('Hall 2024-25 Running'!E15)</f>
        <v>200</v>
      </c>
      <c r="D44" s="40">
        <f>SUM('Hall 2024-25 Running'!A15)</f>
        <v>0</v>
      </c>
    </row>
    <row r="45" spans="1:19" x14ac:dyDescent="0.3">
      <c r="A45" s="24" t="s">
        <v>135</v>
      </c>
      <c r="B45" s="39" t="e">
        <f>SUM('Hall 2024-25 Running'!I16)</f>
        <v>#REF!</v>
      </c>
      <c r="C45" s="40">
        <f>SUM('Hall 2024-25 Running'!E16)</f>
        <v>300</v>
      </c>
      <c r="D45" s="40">
        <f>SUM('Hall 2024-25 Running'!A16)</f>
        <v>0</v>
      </c>
    </row>
    <row r="46" spans="1:19" x14ac:dyDescent="0.3">
      <c r="A46" s="24" t="s">
        <v>136</v>
      </c>
      <c r="B46" s="39" t="e">
        <f>SUM('Hall 2024-25 Running'!I17)</f>
        <v>#REF!</v>
      </c>
      <c r="C46" s="40">
        <f>SUM('Hall 2024-25 Running'!E17)</f>
        <v>750</v>
      </c>
      <c r="D46" s="40">
        <f>SUM('Hall 2024-25 Running'!A17)</f>
        <v>0</v>
      </c>
    </row>
    <row r="47" spans="1:19" s="20" customFormat="1" ht="19.5" thickBot="1" x14ac:dyDescent="0.35">
      <c r="B47" s="11" t="e">
        <f>SUM(B20:B41)</f>
        <v>#REF!</v>
      </c>
      <c r="C47" s="150">
        <f>SUM(C20:C46)</f>
        <v>23606</v>
      </c>
      <c r="D47" s="154">
        <f>SUM(D20:D46)</f>
        <v>15758.379999999997</v>
      </c>
      <c r="E47" s="19"/>
      <c r="F47" s="19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</row>
    <row r="48" spans="1:19" ht="19.5" thickTop="1" x14ac:dyDescent="0.3"/>
    <row r="49" spans="1:4" x14ac:dyDescent="0.3">
      <c r="B49" s="41">
        <f>SUM('Bank Recon'!D27)</f>
        <v>25912.52</v>
      </c>
    </row>
    <row r="50" spans="1:4" x14ac:dyDescent="0.3">
      <c r="A50" s="24"/>
    </row>
    <row r="51" spans="1:4" x14ac:dyDescent="0.3">
      <c r="A51" s="24"/>
    </row>
    <row r="52" spans="1:4" x14ac:dyDescent="0.3">
      <c r="A52" s="24" t="s">
        <v>20</v>
      </c>
      <c r="B52" s="10" t="e">
        <f>+B17</f>
        <v>#REF!</v>
      </c>
      <c r="D52" s="41">
        <f>+D17</f>
        <v>14064.650000000001</v>
      </c>
    </row>
    <row r="53" spans="1:4" x14ac:dyDescent="0.3">
      <c r="A53" s="24" t="s">
        <v>23</v>
      </c>
      <c r="B53" s="10" t="e">
        <f>+B47</f>
        <v>#REF!</v>
      </c>
      <c r="D53" s="41">
        <f>+D47</f>
        <v>15758.379999999997</v>
      </c>
    </row>
    <row r="54" spans="1:4" ht="19.5" thickBot="1" x14ac:dyDescent="0.35">
      <c r="A54" s="24" t="s">
        <v>24</v>
      </c>
      <c r="B54" s="11" t="e">
        <f>SUM(B49:B52)-B53</f>
        <v>#REF!</v>
      </c>
      <c r="D54" s="71">
        <f>SUM(D49:D52)-D53</f>
        <v>-1693.7299999999959</v>
      </c>
    </row>
    <row r="55" spans="1:4" ht="19.5" thickTop="1" x14ac:dyDescent="0.3"/>
    <row r="56" spans="1:4" x14ac:dyDescent="0.3">
      <c r="A56" s="24" t="s">
        <v>25</v>
      </c>
    </row>
    <row r="57" spans="1:4" x14ac:dyDescent="0.3">
      <c r="A57" s="24" t="s">
        <v>26</v>
      </c>
      <c r="B57" s="10">
        <f>SUM('Bank Recon'!C10)</f>
        <v>1000</v>
      </c>
    </row>
    <row r="58" spans="1:4" x14ac:dyDescent="0.3">
      <c r="A58" s="24" t="s">
        <v>123</v>
      </c>
      <c r="B58" s="39">
        <f>'Bank Recon'!C11</f>
        <v>14621.65</v>
      </c>
    </row>
    <row r="59" spans="1:4" x14ac:dyDescent="0.3">
      <c r="A59" s="24" t="s">
        <v>27</v>
      </c>
      <c r="B59" s="39">
        <f>'Bank Recon'!D18</f>
        <v>0</v>
      </c>
      <c r="D59" s="41">
        <v>0</v>
      </c>
    </row>
    <row r="60" spans="1:4" ht="19.5" thickBot="1" x14ac:dyDescent="0.35">
      <c r="A60" s="24"/>
      <c r="B60" s="11">
        <f>SUM(B57:B59)</f>
        <v>15621.65</v>
      </c>
      <c r="D60" s="71">
        <f>SUM(D58:D58)-D59</f>
        <v>0</v>
      </c>
    </row>
    <row r="61" spans="1:4" ht="19.5" thickTop="1" x14ac:dyDescent="0.3">
      <c r="A61" s="24"/>
    </row>
    <row r="62" spans="1:4" x14ac:dyDescent="0.3">
      <c r="A62" s="24" t="s">
        <v>28</v>
      </c>
      <c r="B62" s="10" t="e">
        <f>B54-B60</f>
        <v>#REF!</v>
      </c>
    </row>
    <row r="63" spans="1:4" x14ac:dyDescent="0.3">
      <c r="A63" s="24"/>
    </row>
    <row r="64" spans="1:4" x14ac:dyDescent="0.3">
      <c r="A64" s="24"/>
    </row>
    <row r="65" spans="1:1" x14ac:dyDescent="0.3">
      <c r="A65" s="24"/>
    </row>
    <row r="66" spans="1:1" x14ac:dyDescent="0.3">
      <c r="A66" s="24"/>
    </row>
    <row r="67" spans="1:1" x14ac:dyDescent="0.3">
      <c r="A67" s="24"/>
    </row>
    <row r="68" spans="1:1" x14ac:dyDescent="0.3">
      <c r="A68" s="24"/>
    </row>
    <row r="69" spans="1:1" x14ac:dyDescent="0.3">
      <c r="A69" s="24"/>
    </row>
    <row r="70" spans="1:1" x14ac:dyDescent="0.3">
      <c r="A70" s="24"/>
    </row>
    <row r="71" spans="1:1" x14ac:dyDescent="0.3">
      <c r="A71" s="24"/>
    </row>
    <row r="72" spans="1:1" x14ac:dyDescent="0.3">
      <c r="A72" s="24"/>
    </row>
    <row r="73" spans="1:1" x14ac:dyDescent="0.3">
      <c r="A73" s="24"/>
    </row>
    <row r="74" spans="1:1" x14ac:dyDescent="0.3">
      <c r="A74" s="24"/>
    </row>
    <row r="75" spans="1:1" x14ac:dyDescent="0.3">
      <c r="A75" s="24"/>
    </row>
    <row r="76" spans="1:1" x14ac:dyDescent="0.3">
      <c r="A76" s="24"/>
    </row>
    <row r="77" spans="1:1" x14ac:dyDescent="0.3">
      <c r="A77" s="24"/>
    </row>
    <row r="78" spans="1:1" x14ac:dyDescent="0.3">
      <c r="A78" s="24"/>
    </row>
    <row r="79" spans="1:1" x14ac:dyDescent="0.3">
      <c r="A79" s="24"/>
    </row>
    <row r="80" spans="1:1" x14ac:dyDescent="0.3">
      <c r="A80" s="24"/>
    </row>
    <row r="81" spans="1:1" x14ac:dyDescent="0.3">
      <c r="A81" s="24"/>
    </row>
    <row r="82" spans="1:1" x14ac:dyDescent="0.3">
      <c r="A82" s="24"/>
    </row>
    <row r="83" spans="1:1" x14ac:dyDescent="0.3">
      <c r="A83" s="24"/>
    </row>
    <row r="84" spans="1:1" x14ac:dyDescent="0.3">
      <c r="A84" s="24"/>
    </row>
    <row r="85" spans="1:1" x14ac:dyDescent="0.3">
      <c r="A85" s="24"/>
    </row>
    <row r="86" spans="1:1" x14ac:dyDescent="0.3">
      <c r="A86" s="24"/>
    </row>
    <row r="87" spans="1:1" x14ac:dyDescent="0.3">
      <c r="A87" s="24"/>
    </row>
    <row r="88" spans="1:1" x14ac:dyDescent="0.3">
      <c r="A88" s="24"/>
    </row>
    <row r="89" spans="1:1" x14ac:dyDescent="0.3">
      <c r="A89" s="24"/>
    </row>
    <row r="90" spans="1:1" x14ac:dyDescent="0.3">
      <c r="A90" s="24"/>
    </row>
    <row r="91" spans="1:1" x14ac:dyDescent="0.3">
      <c r="A91" s="24"/>
    </row>
    <row r="92" spans="1:1" x14ac:dyDescent="0.3">
      <c r="A92" s="24"/>
    </row>
    <row r="93" spans="1:1" x14ac:dyDescent="0.3">
      <c r="A93" s="24"/>
    </row>
    <row r="94" spans="1:1" x14ac:dyDescent="0.3">
      <c r="A94" s="24"/>
    </row>
    <row r="95" spans="1:1" x14ac:dyDescent="0.3">
      <c r="A95" s="24"/>
    </row>
    <row r="96" spans="1:1" x14ac:dyDescent="0.3">
      <c r="A96" s="24"/>
    </row>
    <row r="97" spans="1:1" x14ac:dyDescent="0.3">
      <c r="A97" s="24"/>
    </row>
    <row r="98" spans="1:1" x14ac:dyDescent="0.3">
      <c r="A98" s="24"/>
    </row>
    <row r="99" spans="1:1" x14ac:dyDescent="0.3">
      <c r="A99" s="24"/>
    </row>
    <row r="100" spans="1:1" x14ac:dyDescent="0.3">
      <c r="A100" s="24"/>
    </row>
    <row r="101" spans="1:1" x14ac:dyDescent="0.3">
      <c r="A101" s="24"/>
    </row>
    <row r="102" spans="1:1" x14ac:dyDescent="0.3">
      <c r="A102" s="24"/>
    </row>
    <row r="103" spans="1:1" x14ac:dyDescent="0.3">
      <c r="A103" s="24"/>
    </row>
    <row r="104" spans="1:1" x14ac:dyDescent="0.3">
      <c r="A104" s="24"/>
    </row>
    <row r="105" spans="1:1" x14ac:dyDescent="0.3">
      <c r="A105" s="24"/>
    </row>
    <row r="106" spans="1:1" x14ac:dyDescent="0.3">
      <c r="A106" s="24"/>
    </row>
    <row r="107" spans="1:1" x14ac:dyDescent="0.3">
      <c r="A107" s="24"/>
    </row>
    <row r="108" spans="1:1" x14ac:dyDescent="0.3">
      <c r="A108" s="24"/>
    </row>
    <row r="109" spans="1:1" x14ac:dyDescent="0.3">
      <c r="A109" s="24"/>
    </row>
    <row r="110" spans="1:1" x14ac:dyDescent="0.3">
      <c r="A110" s="24"/>
    </row>
    <row r="111" spans="1:1" x14ac:dyDescent="0.3">
      <c r="A111" s="24"/>
    </row>
    <row r="112" spans="1:1" x14ac:dyDescent="0.3">
      <c r="A112" s="24"/>
    </row>
    <row r="113" spans="1:1" x14ac:dyDescent="0.3">
      <c r="A113" s="24"/>
    </row>
    <row r="114" spans="1:1" x14ac:dyDescent="0.3">
      <c r="A114" s="24"/>
    </row>
    <row r="115" spans="1:1" x14ac:dyDescent="0.3">
      <c r="A115" s="24"/>
    </row>
    <row r="116" spans="1:1" x14ac:dyDescent="0.3">
      <c r="A116" s="24"/>
    </row>
    <row r="117" spans="1:1" x14ac:dyDescent="0.3">
      <c r="A117" s="24"/>
    </row>
    <row r="118" spans="1:1" x14ac:dyDescent="0.3">
      <c r="A118" s="24"/>
    </row>
    <row r="119" spans="1:1" x14ac:dyDescent="0.3">
      <c r="A119" s="24"/>
    </row>
    <row r="120" spans="1:1" x14ac:dyDescent="0.3">
      <c r="A120" s="24"/>
    </row>
    <row r="121" spans="1:1" x14ac:dyDescent="0.3">
      <c r="A121" s="24"/>
    </row>
    <row r="122" spans="1:1" x14ac:dyDescent="0.3">
      <c r="A122" s="24"/>
    </row>
    <row r="123" spans="1:1" x14ac:dyDescent="0.3">
      <c r="A123" s="24"/>
    </row>
    <row r="124" spans="1:1" x14ac:dyDescent="0.3">
      <c r="A124" s="24"/>
    </row>
    <row r="125" spans="1:1" x14ac:dyDescent="0.3">
      <c r="A125" s="24"/>
    </row>
    <row r="126" spans="1:1" x14ac:dyDescent="0.3">
      <c r="A126" s="24"/>
    </row>
    <row r="127" spans="1:1" x14ac:dyDescent="0.3">
      <c r="A127" s="24"/>
    </row>
    <row r="128" spans="1:1" x14ac:dyDescent="0.3">
      <c r="A128" s="24"/>
    </row>
    <row r="129" spans="1:1" x14ac:dyDescent="0.3">
      <c r="A129" s="24"/>
    </row>
    <row r="130" spans="1:1" x14ac:dyDescent="0.3">
      <c r="A130" s="24"/>
    </row>
    <row r="131" spans="1:1" x14ac:dyDescent="0.3">
      <c r="A131" s="24"/>
    </row>
    <row r="132" spans="1:1" x14ac:dyDescent="0.3">
      <c r="A132" s="24"/>
    </row>
    <row r="133" spans="1:1" x14ac:dyDescent="0.3">
      <c r="A133" s="24"/>
    </row>
    <row r="134" spans="1:1" x14ac:dyDescent="0.3">
      <c r="A134" s="24"/>
    </row>
    <row r="135" spans="1:1" x14ac:dyDescent="0.3">
      <c r="A135" s="24"/>
    </row>
    <row r="136" spans="1:1" x14ac:dyDescent="0.3">
      <c r="A136" s="24"/>
    </row>
    <row r="137" spans="1:1" x14ac:dyDescent="0.3">
      <c r="A137" s="24"/>
    </row>
    <row r="138" spans="1:1" x14ac:dyDescent="0.3">
      <c r="A138" s="24"/>
    </row>
    <row r="139" spans="1:1" x14ac:dyDescent="0.3">
      <c r="A139" s="24"/>
    </row>
    <row r="140" spans="1:1" x14ac:dyDescent="0.3">
      <c r="A140" s="24"/>
    </row>
    <row r="141" spans="1:1" x14ac:dyDescent="0.3">
      <c r="A141" s="24"/>
    </row>
    <row r="142" spans="1:1" x14ac:dyDescent="0.3">
      <c r="A142" s="24"/>
    </row>
    <row r="143" spans="1:1" x14ac:dyDescent="0.3">
      <c r="A143" s="24"/>
    </row>
    <row r="144" spans="1:1" x14ac:dyDescent="0.3">
      <c r="A144" s="24"/>
    </row>
    <row r="145" spans="1:1" x14ac:dyDescent="0.3">
      <c r="A145" s="24"/>
    </row>
    <row r="146" spans="1:1" x14ac:dyDescent="0.3">
      <c r="A146" s="24"/>
    </row>
    <row r="147" spans="1:1" x14ac:dyDescent="0.3">
      <c r="A147" s="24"/>
    </row>
    <row r="148" spans="1:1" x14ac:dyDescent="0.3">
      <c r="A148" s="24"/>
    </row>
    <row r="149" spans="1:1" x14ac:dyDescent="0.3">
      <c r="A149" s="24"/>
    </row>
    <row r="150" spans="1:1" x14ac:dyDescent="0.3">
      <c r="A150" s="24"/>
    </row>
    <row r="151" spans="1:1" x14ac:dyDescent="0.3">
      <c r="A151" s="24"/>
    </row>
    <row r="152" spans="1:1" x14ac:dyDescent="0.3">
      <c r="A152" s="24"/>
    </row>
    <row r="153" spans="1:1" x14ac:dyDescent="0.3">
      <c r="A153" s="24"/>
    </row>
    <row r="154" spans="1:1" x14ac:dyDescent="0.3">
      <c r="A154" s="24"/>
    </row>
    <row r="155" spans="1:1" x14ac:dyDescent="0.3">
      <c r="A155" s="24"/>
    </row>
    <row r="156" spans="1:1" x14ac:dyDescent="0.3">
      <c r="A156" s="24"/>
    </row>
    <row r="157" spans="1:1" x14ac:dyDescent="0.3">
      <c r="A157" s="24"/>
    </row>
    <row r="158" spans="1:1" x14ac:dyDescent="0.3">
      <c r="A158" s="24"/>
    </row>
    <row r="159" spans="1:1" x14ac:dyDescent="0.3">
      <c r="A159" s="24"/>
    </row>
    <row r="160" spans="1:1" x14ac:dyDescent="0.3">
      <c r="A160" s="24"/>
    </row>
    <row r="161" spans="1:1" x14ac:dyDescent="0.3">
      <c r="A161" s="24"/>
    </row>
    <row r="162" spans="1:1" x14ac:dyDescent="0.3">
      <c r="A162" s="24"/>
    </row>
    <row r="163" spans="1:1" x14ac:dyDescent="0.3">
      <c r="A163" s="24"/>
    </row>
    <row r="164" spans="1:1" x14ac:dyDescent="0.3">
      <c r="A164" s="24"/>
    </row>
    <row r="165" spans="1:1" x14ac:dyDescent="0.3">
      <c r="A165" s="24"/>
    </row>
    <row r="166" spans="1:1" x14ac:dyDescent="0.3">
      <c r="A166" s="24"/>
    </row>
    <row r="167" spans="1:1" x14ac:dyDescent="0.3">
      <c r="A167" s="24"/>
    </row>
    <row r="168" spans="1:1" x14ac:dyDescent="0.3">
      <c r="A168" s="24"/>
    </row>
    <row r="169" spans="1:1" x14ac:dyDescent="0.3">
      <c r="A169" s="24"/>
    </row>
    <row r="170" spans="1:1" x14ac:dyDescent="0.3">
      <c r="A170" s="24"/>
    </row>
    <row r="171" spans="1:1" x14ac:dyDescent="0.3">
      <c r="A171" s="24"/>
    </row>
    <row r="172" spans="1:1" x14ac:dyDescent="0.3">
      <c r="A172" s="24"/>
    </row>
    <row r="173" spans="1:1" x14ac:dyDescent="0.3">
      <c r="A173" s="24"/>
    </row>
    <row r="174" spans="1:1" x14ac:dyDescent="0.3">
      <c r="A174" s="24"/>
    </row>
    <row r="175" spans="1:1" x14ac:dyDescent="0.3">
      <c r="A175" s="24"/>
    </row>
    <row r="176" spans="1:1" x14ac:dyDescent="0.3">
      <c r="A176" s="24"/>
    </row>
    <row r="177" spans="1:1" x14ac:dyDescent="0.3">
      <c r="A177" s="24"/>
    </row>
    <row r="178" spans="1:1" x14ac:dyDescent="0.3">
      <c r="A178" s="24"/>
    </row>
    <row r="179" spans="1:1" x14ac:dyDescent="0.3">
      <c r="A179" s="24"/>
    </row>
    <row r="180" spans="1:1" x14ac:dyDescent="0.3">
      <c r="A180" s="24"/>
    </row>
    <row r="181" spans="1:1" x14ac:dyDescent="0.3">
      <c r="A181" s="24"/>
    </row>
    <row r="182" spans="1:1" x14ac:dyDescent="0.3">
      <c r="A182" s="24"/>
    </row>
    <row r="183" spans="1:1" x14ac:dyDescent="0.3">
      <c r="A183" s="24"/>
    </row>
    <row r="184" spans="1:1" x14ac:dyDescent="0.3">
      <c r="A184" s="24"/>
    </row>
    <row r="185" spans="1:1" x14ac:dyDescent="0.3">
      <c r="A185" s="24"/>
    </row>
    <row r="186" spans="1:1" x14ac:dyDescent="0.3">
      <c r="A186" s="24"/>
    </row>
    <row r="187" spans="1:1" x14ac:dyDescent="0.3">
      <c r="A187" s="24"/>
    </row>
    <row r="188" spans="1:1" x14ac:dyDescent="0.3">
      <c r="A188" s="24"/>
    </row>
    <row r="189" spans="1:1" x14ac:dyDescent="0.3">
      <c r="A189" s="24"/>
    </row>
    <row r="190" spans="1:1" x14ac:dyDescent="0.3">
      <c r="A190" s="24"/>
    </row>
    <row r="191" spans="1:1" x14ac:dyDescent="0.3">
      <c r="A191" s="24"/>
    </row>
    <row r="192" spans="1:1" x14ac:dyDescent="0.3">
      <c r="A192" s="24"/>
    </row>
    <row r="193" spans="1:1" x14ac:dyDescent="0.3">
      <c r="A193" s="24"/>
    </row>
    <row r="194" spans="1:1" x14ac:dyDescent="0.3">
      <c r="A194" s="24"/>
    </row>
    <row r="195" spans="1:1" x14ac:dyDescent="0.3">
      <c r="A195" s="24"/>
    </row>
    <row r="196" spans="1:1" x14ac:dyDescent="0.3">
      <c r="A196" s="24"/>
    </row>
    <row r="197" spans="1:1" x14ac:dyDescent="0.3">
      <c r="A197" s="24"/>
    </row>
    <row r="198" spans="1:1" x14ac:dyDescent="0.3">
      <c r="A198" s="24"/>
    </row>
    <row r="199" spans="1:1" x14ac:dyDescent="0.3">
      <c r="A199" s="24"/>
    </row>
    <row r="200" spans="1:1" x14ac:dyDescent="0.3">
      <c r="A200" s="24"/>
    </row>
    <row r="201" spans="1:1" x14ac:dyDescent="0.3">
      <c r="A201" s="24"/>
    </row>
    <row r="202" spans="1:1" x14ac:dyDescent="0.3">
      <c r="A202" s="24"/>
    </row>
    <row r="203" spans="1:1" x14ac:dyDescent="0.3">
      <c r="A203" s="24"/>
    </row>
    <row r="204" spans="1:1" x14ac:dyDescent="0.3">
      <c r="A204" s="24"/>
    </row>
    <row r="205" spans="1:1" x14ac:dyDescent="0.3">
      <c r="A205" s="24"/>
    </row>
    <row r="206" spans="1:1" x14ac:dyDescent="0.3">
      <c r="A206" s="24"/>
    </row>
    <row r="207" spans="1:1" x14ac:dyDescent="0.3">
      <c r="A207" s="24"/>
    </row>
    <row r="208" spans="1:1" x14ac:dyDescent="0.3">
      <c r="A208" s="24"/>
    </row>
    <row r="209" spans="1:1" x14ac:dyDescent="0.3">
      <c r="A209" s="24"/>
    </row>
    <row r="210" spans="1:1" x14ac:dyDescent="0.3">
      <c r="A210" s="24"/>
    </row>
    <row r="211" spans="1:1" x14ac:dyDescent="0.3">
      <c r="A211" s="24"/>
    </row>
    <row r="212" spans="1:1" x14ac:dyDescent="0.3">
      <c r="A212" s="24"/>
    </row>
    <row r="213" spans="1:1" x14ac:dyDescent="0.3">
      <c r="A213" s="24"/>
    </row>
    <row r="214" spans="1:1" x14ac:dyDescent="0.3">
      <c r="A214" s="24"/>
    </row>
    <row r="215" spans="1:1" x14ac:dyDescent="0.3">
      <c r="A215" s="24"/>
    </row>
    <row r="216" spans="1:1" x14ac:dyDescent="0.3">
      <c r="A216" s="24"/>
    </row>
    <row r="217" spans="1:1" x14ac:dyDescent="0.3">
      <c r="A217" s="24"/>
    </row>
    <row r="218" spans="1:1" x14ac:dyDescent="0.3">
      <c r="A218" s="24"/>
    </row>
    <row r="219" spans="1:1" x14ac:dyDescent="0.3">
      <c r="A219" s="24"/>
    </row>
    <row r="220" spans="1:1" x14ac:dyDescent="0.3">
      <c r="A220" s="24"/>
    </row>
    <row r="221" spans="1:1" x14ac:dyDescent="0.3">
      <c r="A221" s="24"/>
    </row>
    <row r="222" spans="1:1" x14ac:dyDescent="0.3">
      <c r="A222" s="24"/>
    </row>
    <row r="223" spans="1:1" x14ac:dyDescent="0.3">
      <c r="A223" s="24"/>
    </row>
    <row r="224" spans="1:1" x14ac:dyDescent="0.3">
      <c r="A224" s="24"/>
    </row>
    <row r="225" spans="1:1" x14ac:dyDescent="0.3">
      <c r="A225" s="24"/>
    </row>
    <row r="226" spans="1:1" x14ac:dyDescent="0.3">
      <c r="A226" s="24"/>
    </row>
    <row r="227" spans="1:1" x14ac:dyDescent="0.3">
      <c r="A227" s="24"/>
    </row>
    <row r="228" spans="1:1" x14ac:dyDescent="0.3">
      <c r="A228" s="24"/>
    </row>
    <row r="229" spans="1:1" x14ac:dyDescent="0.3">
      <c r="A229" s="24"/>
    </row>
    <row r="230" spans="1:1" x14ac:dyDescent="0.3">
      <c r="A230" s="24"/>
    </row>
    <row r="231" spans="1:1" x14ac:dyDescent="0.3">
      <c r="A231" s="24"/>
    </row>
    <row r="232" spans="1:1" x14ac:dyDescent="0.3">
      <c r="A232" s="24"/>
    </row>
    <row r="233" spans="1:1" x14ac:dyDescent="0.3">
      <c r="A233" s="24"/>
    </row>
    <row r="234" spans="1:1" x14ac:dyDescent="0.3">
      <c r="A234" s="24"/>
    </row>
    <row r="235" spans="1:1" x14ac:dyDescent="0.3">
      <c r="A235" s="24"/>
    </row>
    <row r="236" spans="1:1" x14ac:dyDescent="0.3">
      <c r="A236" s="24"/>
    </row>
    <row r="237" spans="1:1" x14ac:dyDescent="0.3">
      <c r="A237" s="24"/>
    </row>
    <row r="238" spans="1:1" x14ac:dyDescent="0.3">
      <c r="A238" s="24"/>
    </row>
    <row r="239" spans="1:1" x14ac:dyDescent="0.3">
      <c r="A239" s="24"/>
    </row>
    <row r="240" spans="1:1" x14ac:dyDescent="0.3">
      <c r="A240" s="24"/>
    </row>
    <row r="241" spans="1:1" x14ac:dyDescent="0.3">
      <c r="A241" s="24"/>
    </row>
    <row r="242" spans="1:1" x14ac:dyDescent="0.3">
      <c r="A242" s="24"/>
    </row>
    <row r="243" spans="1:1" x14ac:dyDescent="0.3">
      <c r="A243" s="24"/>
    </row>
    <row r="244" spans="1:1" x14ac:dyDescent="0.3">
      <c r="A244" s="24"/>
    </row>
    <row r="245" spans="1:1" x14ac:dyDescent="0.3">
      <c r="A245" s="24"/>
    </row>
    <row r="246" spans="1:1" x14ac:dyDescent="0.3">
      <c r="A246" s="24"/>
    </row>
    <row r="247" spans="1:1" x14ac:dyDescent="0.3">
      <c r="A247" s="24"/>
    </row>
    <row r="248" spans="1:1" x14ac:dyDescent="0.3">
      <c r="A248" s="24"/>
    </row>
    <row r="249" spans="1:1" x14ac:dyDescent="0.3">
      <c r="A249" s="24"/>
    </row>
    <row r="250" spans="1:1" x14ac:dyDescent="0.3">
      <c r="A250" s="24"/>
    </row>
    <row r="251" spans="1:1" x14ac:dyDescent="0.3">
      <c r="A251" s="24"/>
    </row>
    <row r="252" spans="1:1" x14ac:dyDescent="0.3">
      <c r="A252" s="24"/>
    </row>
    <row r="253" spans="1:1" x14ac:dyDescent="0.3">
      <c r="A253" s="24"/>
    </row>
    <row r="254" spans="1:1" x14ac:dyDescent="0.3">
      <c r="A254" s="24"/>
    </row>
    <row r="255" spans="1:1" x14ac:dyDescent="0.3">
      <c r="A255" s="24"/>
    </row>
    <row r="256" spans="1:1" x14ac:dyDescent="0.3">
      <c r="A256" s="24"/>
    </row>
    <row r="257" spans="1:1" x14ac:dyDescent="0.3">
      <c r="A257" s="24"/>
    </row>
    <row r="258" spans="1:1" x14ac:dyDescent="0.3">
      <c r="A258" s="24"/>
    </row>
    <row r="259" spans="1:1" x14ac:dyDescent="0.3">
      <c r="A259" s="24"/>
    </row>
    <row r="260" spans="1:1" x14ac:dyDescent="0.3">
      <c r="A260" s="24"/>
    </row>
    <row r="261" spans="1:1" x14ac:dyDescent="0.3">
      <c r="A261" s="24"/>
    </row>
    <row r="262" spans="1:1" x14ac:dyDescent="0.3">
      <c r="A262" s="24"/>
    </row>
    <row r="263" spans="1:1" x14ac:dyDescent="0.3">
      <c r="A263" s="24"/>
    </row>
    <row r="264" spans="1:1" x14ac:dyDescent="0.3">
      <c r="A264" s="24"/>
    </row>
    <row r="265" spans="1:1" x14ac:dyDescent="0.3">
      <c r="A265" s="24"/>
    </row>
    <row r="266" spans="1:1" x14ac:dyDescent="0.3">
      <c r="A266" s="24"/>
    </row>
    <row r="267" spans="1:1" x14ac:dyDescent="0.3">
      <c r="A267" s="24"/>
    </row>
    <row r="268" spans="1:1" x14ac:dyDescent="0.3">
      <c r="A268" s="24"/>
    </row>
    <row r="269" spans="1:1" x14ac:dyDescent="0.3">
      <c r="A269" s="24"/>
    </row>
    <row r="270" spans="1:1" x14ac:dyDescent="0.3">
      <c r="A270" s="24"/>
    </row>
    <row r="271" spans="1:1" x14ac:dyDescent="0.3">
      <c r="A271" s="24"/>
    </row>
    <row r="272" spans="1:1" x14ac:dyDescent="0.3">
      <c r="A272" s="24"/>
    </row>
    <row r="273" spans="1:1" x14ac:dyDescent="0.3">
      <c r="A273" s="24"/>
    </row>
    <row r="274" spans="1:1" x14ac:dyDescent="0.3">
      <c r="A274" s="24"/>
    </row>
    <row r="275" spans="1:1" x14ac:dyDescent="0.3">
      <c r="A275" s="24"/>
    </row>
    <row r="276" spans="1:1" x14ac:dyDescent="0.3">
      <c r="A276" s="24"/>
    </row>
    <row r="277" spans="1:1" x14ac:dyDescent="0.3">
      <c r="A277" s="24"/>
    </row>
  </sheetData>
  <mergeCells count="3">
    <mergeCell ref="A1:D1"/>
    <mergeCell ref="A2:D2"/>
    <mergeCell ref="A3:D3"/>
  </mergeCells>
  <pageMargins left="0.70866141732283472" right="0.70866141732283472" top="0.74803149606299213" bottom="0.74803149606299213" header="0.31496062992125984" footer="0.31496062992125984"/>
  <pageSetup paperSize="9" scale="88" orientation="portrait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DCA2C-2E85-408C-A144-68EBF48DDCF6}">
  <sheetPr codeName="Sheet9">
    <pageSetUpPr fitToPage="1"/>
  </sheetPr>
  <dimension ref="A1:V35"/>
  <sheetViews>
    <sheetView topLeftCell="A5" zoomScale="90" zoomScaleNormal="90" workbookViewId="0">
      <selection activeCell="F30" sqref="F30"/>
    </sheetView>
  </sheetViews>
  <sheetFormatPr defaultColWidth="9.140625" defaultRowHeight="14.25" x14ac:dyDescent="0.2"/>
  <cols>
    <col min="1" max="1" width="10.85546875" style="313" customWidth="1"/>
    <col min="2" max="2" width="9.140625" style="313"/>
    <col min="3" max="3" width="32.5703125" style="313" customWidth="1"/>
    <col min="4" max="4" width="9.140625" style="313"/>
    <col min="5" max="5" width="3.28515625" style="313" customWidth="1"/>
    <col min="6" max="6" width="9.140625" style="313"/>
    <col min="7" max="7" width="10.140625" style="313" customWidth="1"/>
    <col min="8" max="8" width="9.5703125" style="313" customWidth="1"/>
    <col min="9" max="11" width="9.140625" style="313" hidden="1" customWidth="1"/>
    <col min="12" max="12" width="13.28515625" style="313" customWidth="1"/>
    <col min="13" max="13" width="50.42578125" style="312" bestFit="1" customWidth="1"/>
    <col min="14" max="14" width="86" style="313" bestFit="1" customWidth="1"/>
    <col min="15" max="16384" width="9.140625" style="313"/>
  </cols>
  <sheetData>
    <row r="1" spans="1:14" ht="18" x14ac:dyDescent="0.2">
      <c r="A1" s="494" t="s">
        <v>221</v>
      </c>
      <c r="B1" s="495"/>
      <c r="C1" s="495"/>
      <c r="D1" s="495"/>
      <c r="E1" s="495"/>
      <c r="F1" s="495"/>
      <c r="G1" s="495"/>
      <c r="H1" s="495"/>
      <c r="I1" s="495"/>
      <c r="J1" s="495"/>
      <c r="K1" s="495"/>
      <c r="L1" s="311"/>
    </row>
    <row r="2" spans="1:14" ht="15.75" x14ac:dyDescent="0.2">
      <c r="A2" s="314" t="s">
        <v>222</v>
      </c>
      <c r="B2" s="310"/>
      <c r="C2" s="315"/>
      <c r="D2" s="310"/>
      <c r="E2" s="310"/>
      <c r="F2" s="310"/>
      <c r="G2" s="310"/>
      <c r="H2" s="310"/>
      <c r="I2" s="310"/>
      <c r="J2" s="310"/>
      <c r="K2" s="310"/>
      <c r="L2" s="311"/>
    </row>
    <row r="3" spans="1:14" ht="15.75" x14ac:dyDescent="0.2">
      <c r="A3" s="314" t="s">
        <v>223</v>
      </c>
      <c r="C3" s="316"/>
      <c r="L3" s="311"/>
    </row>
    <row r="4" spans="1:14" x14ac:dyDescent="0.2">
      <c r="A4" s="317" t="s">
        <v>224</v>
      </c>
    </row>
    <row r="5" spans="1:14" ht="98.25" customHeight="1" x14ac:dyDescent="0.2">
      <c r="A5" s="496" t="s">
        <v>225</v>
      </c>
      <c r="B5" s="497"/>
      <c r="C5" s="497"/>
      <c r="D5" s="497"/>
      <c r="E5" s="497"/>
      <c r="F5" s="497"/>
      <c r="G5" s="497"/>
      <c r="H5" s="497"/>
    </row>
    <row r="6" spans="1:14" x14ac:dyDescent="0.2">
      <c r="A6" s="318"/>
    </row>
    <row r="7" spans="1:14" ht="15" x14ac:dyDescent="0.25">
      <c r="A7" s="318"/>
      <c r="D7" s="319"/>
      <c r="F7" s="319"/>
      <c r="N7" s="320"/>
    </row>
    <row r="8" spans="1:14" ht="30" x14ac:dyDescent="0.25">
      <c r="D8" s="321" t="s">
        <v>75</v>
      </c>
      <c r="E8" s="320"/>
      <c r="F8" s="321" t="s">
        <v>141</v>
      </c>
      <c r="G8" s="321" t="s">
        <v>226</v>
      </c>
      <c r="H8" s="321" t="s">
        <v>226</v>
      </c>
      <c r="I8" s="321"/>
      <c r="J8" s="321"/>
      <c r="K8" s="321"/>
      <c r="L8" s="322" t="s">
        <v>227</v>
      </c>
      <c r="M8" s="323" t="s">
        <v>228</v>
      </c>
      <c r="N8" s="324" t="s">
        <v>229</v>
      </c>
    </row>
    <row r="9" spans="1:14" ht="15" x14ac:dyDescent="0.25">
      <c r="D9" s="321" t="s">
        <v>30</v>
      </c>
      <c r="E9" s="320"/>
      <c r="F9" s="321" t="s">
        <v>30</v>
      </c>
      <c r="G9" s="321" t="s">
        <v>30</v>
      </c>
      <c r="H9" s="321" t="s">
        <v>230</v>
      </c>
      <c r="I9" s="321"/>
      <c r="J9" s="321"/>
      <c r="K9" s="320"/>
      <c r="L9" s="320"/>
      <c r="N9" s="312"/>
    </row>
    <row r="10" spans="1:14" ht="15" thickBot="1" x14ac:dyDescent="0.25">
      <c r="D10" s="319"/>
      <c r="E10" s="319"/>
      <c r="N10" s="312"/>
    </row>
    <row r="11" spans="1:14" ht="43.5" thickBot="1" x14ac:dyDescent="0.25">
      <c r="A11" s="495" t="s">
        <v>231</v>
      </c>
      <c r="B11" s="495"/>
      <c r="C11" s="495"/>
      <c r="D11" s="325">
        <v>29267</v>
      </c>
      <c r="F11" s="325">
        <v>25913</v>
      </c>
      <c r="G11" s="326"/>
      <c r="M11" s="323" t="str">
        <f>IF(F11=D23,"Explanation of % variance from PY opening balance not required - Balance brought forward agrees","Explanation of % variance from PY opening balance not required - Balance brought forward does not agree, query this")</f>
        <v>Explanation of % variance from PY opening balance not required - Balance brought forward does not agree, query this</v>
      </c>
      <c r="N11" s="327"/>
    </row>
    <row r="12" spans="1:14" ht="15" thickBot="1" x14ac:dyDescent="0.25">
      <c r="D12" s="326"/>
      <c r="F12" s="326"/>
      <c r="N12" s="312"/>
    </row>
    <row r="13" spans="1:14" ht="15" thickBot="1" x14ac:dyDescent="0.25">
      <c r="A13" s="498" t="s">
        <v>232</v>
      </c>
      <c r="B13" s="499"/>
      <c r="C13" s="500"/>
      <c r="D13" s="325">
        <v>11100</v>
      </c>
      <c r="F13" s="325" t="e">
        <f>SUM('2024-25 Running'!I6)</f>
        <v>#REF!</v>
      </c>
      <c r="G13" s="326" t="e">
        <f>F13-D13</f>
        <v>#REF!</v>
      </c>
      <c r="H13" s="328" t="e">
        <f>IF((D13&gt;F13),(D13-F13)/D13,IF(D13&lt;F13,-(D13-F13)/D13,IF(D13=F13,0)))</f>
        <v>#REF!</v>
      </c>
      <c r="I13" s="313" t="e">
        <f>IF(D13-F13&lt;200,0,IF(D13-F13&gt;200,1,IF(D13-F13=200,1)))</f>
        <v>#REF!</v>
      </c>
      <c r="J13" s="313" t="e">
        <f>IF(F13-D13&lt;200,0,IF(F13-D13&gt;200,1,IF(F13-D13=200,1)))</f>
        <v>#REF!</v>
      </c>
      <c r="K13" s="319" t="e">
        <f>IF(H13&lt;0.15,0,IF(H13&gt;0.15,1,IF(H13=0.15,1)))</f>
        <v>#REF!</v>
      </c>
      <c r="L13" s="319" t="e">
        <f>IF((H13&lt;15%)*AND(G13&lt;100000)*OR(G13&gt;-100000), "NO","YES")</f>
        <v>#REF!</v>
      </c>
      <c r="M13" s="323" t="e">
        <f>IF((L13="YES")*AND(I13+J13&lt;1),"Explanation not required, difference less than £200"," ")</f>
        <v>#REF!</v>
      </c>
      <c r="N13" s="327"/>
    </row>
    <row r="14" spans="1:14" ht="15" thickBot="1" x14ac:dyDescent="0.25">
      <c r="D14" s="326"/>
      <c r="F14" s="326"/>
      <c r="G14" s="326"/>
      <c r="H14" s="328"/>
      <c r="K14" s="319"/>
      <c r="L14" s="319"/>
      <c r="N14" s="312"/>
    </row>
    <row r="15" spans="1:14" ht="29.25" thickBot="1" x14ac:dyDescent="0.25">
      <c r="A15" s="493" t="s">
        <v>233</v>
      </c>
      <c r="B15" s="493"/>
      <c r="C15" s="493"/>
      <c r="D15" s="325">
        <v>19970</v>
      </c>
      <c r="F15" s="325" t="e">
        <f>SUM(Cashbook!#REF!)+Reserves!P22</f>
        <v>#REF!</v>
      </c>
      <c r="G15" s="326" t="e">
        <f>F15-D15</f>
        <v>#REF!</v>
      </c>
      <c r="H15" s="328" t="e">
        <f>IF((D15&gt;F15),(D15-F15)/D15,IF(D15&lt;F15,-(D15-F15)/D15,IF(D15=F15,0)))</f>
        <v>#REF!</v>
      </c>
      <c r="I15" s="313" t="e">
        <f>IF(D15-F15&lt;200,0,IF(D15-F15&gt;200,1,IF(D15-F15=200,1)))</f>
        <v>#REF!</v>
      </c>
      <c r="J15" s="313" t="e">
        <f>IF(F15-D15&lt;200,0,IF(F15-D15&gt;200,1,IF(F15-D15=200,1)))</f>
        <v>#REF!</v>
      </c>
      <c r="K15" s="319" t="e">
        <f>IF(H15&lt;0.15,0,IF(H15&gt;0.15,1,IF(H15=0.15,1)))</f>
        <v>#REF!</v>
      </c>
      <c r="L15" s="319" t="e">
        <f>IF((H15&lt;15%)*AND(G15&lt;100000)*OR(G15&gt;-100000), "NO","YES")</f>
        <v>#REF!</v>
      </c>
      <c r="M15" s="323" t="e">
        <f>IF((L15="YES")*AND(I15+J15&lt;1),"Explanation not required, difference less than £200"," ")</f>
        <v>#REF!</v>
      </c>
      <c r="N15" s="330" t="s">
        <v>645</v>
      </c>
    </row>
    <row r="16" spans="1:14" ht="15" thickBot="1" x14ac:dyDescent="0.25">
      <c r="D16" s="326"/>
      <c r="F16" s="326"/>
      <c r="G16" s="326"/>
      <c r="H16" s="328"/>
      <c r="K16" s="319"/>
      <c r="L16" s="319"/>
      <c r="N16" s="312"/>
    </row>
    <row r="17" spans="1:22" ht="15" thickBot="1" x14ac:dyDescent="0.25">
      <c r="A17" s="493" t="s">
        <v>234</v>
      </c>
      <c r="B17" s="493"/>
      <c r="C17" s="493"/>
      <c r="D17" s="325">
        <v>7496</v>
      </c>
      <c r="F17" s="325" t="e">
        <f>SUM(Cashbook!#REF!)</f>
        <v>#REF!</v>
      </c>
      <c r="G17" s="326" t="e">
        <f>F17-D17</f>
        <v>#REF!</v>
      </c>
      <c r="H17" s="328" t="e">
        <f>IF((D17&gt;F17),(D17-F17)/D17,IF(D17&lt;F17,-(D17-F17)/D17,IF(D17=F17,0)))</f>
        <v>#REF!</v>
      </c>
      <c r="I17" s="313" t="e">
        <f>IF(D17-F17&lt;200,0,IF(D17-F17&gt;200,1,IF(D17-F17=200,1)))</f>
        <v>#REF!</v>
      </c>
      <c r="J17" s="313" t="e">
        <f>IF(F17-D17&lt;200,0,IF(F17-D17&gt;200,1,IF(F17-D17=200,1)))</f>
        <v>#REF!</v>
      </c>
      <c r="K17" s="319" t="e">
        <f>IF(H17&lt;0.15,0,IF(H17&gt;0.15,1,IF(H17=0.15,1)))</f>
        <v>#REF!</v>
      </c>
      <c r="L17" s="319" t="e">
        <f>IF((H17&lt;15%)*AND(G17&lt;100000)*OR(G17&gt;-100000), "NO","YES")</f>
        <v>#REF!</v>
      </c>
      <c r="M17" s="323" t="e">
        <f>IF((L17="YES")*AND(I17+J17&lt;1),"Explanation not required, difference less than £200"," ")</f>
        <v>#REF!</v>
      </c>
      <c r="N17" s="327"/>
    </row>
    <row r="18" spans="1:22" ht="15" thickBot="1" x14ac:dyDescent="0.25">
      <c r="D18" s="326"/>
      <c r="F18" s="326"/>
      <c r="G18" s="326"/>
      <c r="H18" s="328"/>
      <c r="K18" s="319"/>
      <c r="L18" s="319"/>
      <c r="N18" s="312"/>
    </row>
    <row r="19" spans="1:22" ht="15" thickBot="1" x14ac:dyDescent="0.25">
      <c r="A19" s="493" t="s">
        <v>235</v>
      </c>
      <c r="B19" s="493"/>
      <c r="C19" s="493"/>
      <c r="D19" s="325">
        <v>0</v>
      </c>
      <c r="F19" s="325">
        <v>0</v>
      </c>
      <c r="G19" s="326">
        <f>F19-D19</f>
        <v>0</v>
      </c>
      <c r="H19" s="328">
        <f>IF((D19&gt;F19),(D19-F19)/D19,IF(D19&lt;F19,-(D19-F19)/D19,IF(D19=F19,0)))</f>
        <v>0</v>
      </c>
      <c r="I19" s="313">
        <f>IF(D19-F19&lt;200,0,IF(D19-F19&gt;200,1,IF(D19-F19=200,1)))</f>
        <v>0</v>
      </c>
      <c r="J19" s="313">
        <f>IF(F19-D19&lt;200,0,IF(F19-D19&gt;200,1,IF(F19-D19=200,1)))</f>
        <v>0</v>
      </c>
      <c r="K19" s="319">
        <f>IF(H19&lt;0.15,0,IF(H19&gt;0.15,1,IF(H19=0.15,1)))</f>
        <v>0</v>
      </c>
      <c r="L19" s="319" t="str">
        <f>IF((H19&lt;15%)*AND(G19&lt;100000)*OR(G19&gt;-100000), "NO","YES")</f>
        <v>NO</v>
      </c>
      <c r="M19" s="323" t="str">
        <f>IF((L19="YES")*AND(I19+J19&lt;1),"Explanation not required, difference less than £200"," ")</f>
        <v xml:space="preserve"> </v>
      </c>
      <c r="N19" s="327"/>
    </row>
    <row r="20" spans="1:22" ht="15" thickBot="1" x14ac:dyDescent="0.25">
      <c r="D20" s="326"/>
      <c r="F20" s="326"/>
      <c r="G20" s="326"/>
      <c r="H20" s="328"/>
      <c r="K20" s="319"/>
      <c r="L20" s="319"/>
      <c r="N20" s="312"/>
    </row>
    <row r="21" spans="1:22" ht="57.75" thickBot="1" x14ac:dyDescent="0.25">
      <c r="A21" s="493" t="s">
        <v>236</v>
      </c>
      <c r="B21" s="493"/>
      <c r="C21" s="493"/>
      <c r="D21" s="325">
        <v>26929</v>
      </c>
      <c r="F21" s="325" t="e">
        <f>SUM(Cashbook!#REF!)</f>
        <v>#REF!</v>
      </c>
      <c r="G21" s="326" t="e">
        <f>F21-D21</f>
        <v>#REF!</v>
      </c>
      <c r="H21" s="328" t="e">
        <f>IF((D21&gt;F21),(D21-F21)/D21,IF(D21&lt;F21,-(D21-F21)/D21,IF(D21=F21,0)))</f>
        <v>#REF!</v>
      </c>
      <c r="I21" s="313" t="e">
        <f>IF(D21-F21&lt;200,0,IF(D21-F21&gt;200,1,IF(D21-F21=200,1)))</f>
        <v>#REF!</v>
      </c>
      <c r="J21" s="313" t="e">
        <f>IF(F21-D21&lt;200,0,IF(F21-D21&gt;200,1,IF(F21-D21=200,1)))</f>
        <v>#REF!</v>
      </c>
      <c r="K21" s="319" t="e">
        <f>IF(H21&lt;0.15,0,IF(H21&gt;0.15,1,IF(H21=0.15,1)))</f>
        <v>#REF!</v>
      </c>
      <c r="L21" s="319" t="e">
        <f>IF((H21&lt;15%)*AND(G21&lt;100000)*OR(G21&gt;-100000), "NO","YES")</f>
        <v>#REF!</v>
      </c>
      <c r="M21" s="323" t="e">
        <f>IF((L21="YES")*AND(I21+J21&lt;1),"Explanation not required, difference less than £200"," ")</f>
        <v>#REF!</v>
      </c>
      <c r="N21" s="327" t="s">
        <v>646</v>
      </c>
    </row>
    <row r="22" spans="1:22" ht="15" thickBot="1" x14ac:dyDescent="0.25">
      <c r="D22" s="326"/>
      <c r="F22" s="326"/>
      <c r="G22" s="326"/>
      <c r="H22" s="328"/>
      <c r="K22" s="319"/>
      <c r="L22" s="319"/>
      <c r="N22" s="312"/>
    </row>
    <row r="23" spans="1:22" ht="15" thickBot="1" x14ac:dyDescent="0.25">
      <c r="A23" s="329" t="s">
        <v>237</v>
      </c>
      <c r="D23" s="331">
        <f>D11+D13+D15-D17-D19-D21</f>
        <v>25912</v>
      </c>
      <c r="F23" s="331" t="e">
        <f>F11+F13+F15-F17-F19-F21</f>
        <v>#REF!</v>
      </c>
      <c r="G23" s="326"/>
      <c r="H23" s="328"/>
      <c r="K23" s="319"/>
      <c r="L23" s="319"/>
      <c r="M23" s="332" t="s">
        <v>238</v>
      </c>
      <c r="N23" s="312"/>
    </row>
    <row r="24" spans="1:22" ht="15" thickBot="1" x14ac:dyDescent="0.25">
      <c r="D24" s="326"/>
      <c r="F24" s="326"/>
      <c r="G24" s="326"/>
      <c r="H24" s="328"/>
      <c r="K24" s="319"/>
      <c r="L24" s="319"/>
      <c r="N24" s="312"/>
    </row>
    <row r="25" spans="1:22" ht="15" thickBot="1" x14ac:dyDescent="0.25">
      <c r="A25" s="493" t="s">
        <v>239</v>
      </c>
      <c r="B25" s="493"/>
      <c r="C25" s="493"/>
      <c r="D25" s="325">
        <v>25913</v>
      </c>
      <c r="F25" s="325" t="e">
        <f>SUM(F23)</f>
        <v>#REF!</v>
      </c>
      <c r="G25" s="326"/>
      <c r="H25" s="328"/>
      <c r="K25" s="319"/>
      <c r="L25" s="319"/>
      <c r="M25" s="332" t="s">
        <v>238</v>
      </c>
      <c r="N25" s="312"/>
    </row>
    <row r="26" spans="1:22" ht="15" thickBot="1" x14ac:dyDescent="0.25">
      <c r="D26" s="326"/>
      <c r="F26" s="326"/>
      <c r="G26" s="326"/>
      <c r="H26" s="328"/>
      <c r="K26" s="319"/>
      <c r="L26" s="319"/>
      <c r="N26" s="312"/>
    </row>
    <row r="27" spans="1:22" ht="15" thickBot="1" x14ac:dyDescent="0.25">
      <c r="A27" s="493" t="s">
        <v>240</v>
      </c>
      <c r="B27" s="493"/>
      <c r="C27" s="493"/>
      <c r="D27" s="325">
        <v>234243</v>
      </c>
      <c r="F27" s="325">
        <v>234948</v>
      </c>
      <c r="G27" s="326">
        <f>F27-D27</f>
        <v>705</v>
      </c>
      <c r="H27" s="328">
        <f>IF((D27&gt;F27),(D27-F27)/D27,IF(D27&lt;F27,-(D27-F27)/D27,IF(D27=F27,0)))</f>
        <v>3.0096950602579373E-3</v>
      </c>
      <c r="I27" s="313">
        <f>IF(D27-F27&lt;200,0,IF(D27-F27&gt;200,1,IF(D27-F27=200,1)))</f>
        <v>0</v>
      </c>
      <c r="J27" s="313">
        <f>IF(F27-D27&lt;200,0,IF(F27-D27&gt;200,1,IF(F27-D27=200,1)))</f>
        <v>1</v>
      </c>
      <c r="K27" s="319">
        <f>IF(H27&lt;0.15,0,IF(H27&gt;0.15,1,IF(H27=0.15,1)))</f>
        <v>0</v>
      </c>
      <c r="L27" s="319" t="str">
        <f>IF((H27&lt;15%)*AND(G27&lt;100000)*OR(G27&gt;-100000), "NO","YES")</f>
        <v>NO</v>
      </c>
      <c r="M27" s="323" t="str">
        <f>IF((L27="YES")*AND(I27+J27&lt;1),"Explanation not required, difference less than £200"," ")</f>
        <v xml:space="preserve"> </v>
      </c>
      <c r="N27" s="327"/>
    </row>
    <row r="28" spans="1:22" ht="15" thickBot="1" x14ac:dyDescent="0.25">
      <c r="D28" s="326"/>
      <c r="F28" s="326"/>
      <c r="G28" s="326"/>
      <c r="H28" s="328"/>
      <c r="K28" s="319"/>
      <c r="L28" s="319"/>
      <c r="N28" s="312"/>
    </row>
    <row r="29" spans="1:22" ht="15" thickBot="1" x14ac:dyDescent="0.25">
      <c r="A29" s="493" t="s">
        <v>241</v>
      </c>
      <c r="B29" s="493"/>
      <c r="C29" s="493"/>
      <c r="D29" s="325">
        <v>0</v>
      </c>
      <c r="F29" s="325">
        <v>0</v>
      </c>
      <c r="G29" s="326">
        <f>F29-D29</f>
        <v>0</v>
      </c>
      <c r="H29" s="328">
        <f>IF((D29&gt;F29),(D29-F29)/D29,IF(D29&lt;F29,-(D29-F29)/D29,IF(D29=F29,0)))</f>
        <v>0</v>
      </c>
      <c r="I29" s="313">
        <f>IF(D29-F29&lt;100,0,IF(D29-F29&gt;100,1,IF(D29-F29=100,1)))</f>
        <v>0</v>
      </c>
      <c r="J29" s="313">
        <f>IF(F29-D29&lt;100,0,IF(F29-D29&gt;100,1,IF(F29-D29=100,1)))</f>
        <v>0</v>
      </c>
      <c r="K29" s="319">
        <f>IF(H29&lt;0.15,0,IF(H29&gt;0.15,1,IF(H29=0.15,1)))</f>
        <v>0</v>
      </c>
      <c r="L29" s="319" t="str">
        <f>IF((H29&lt;15%)*AND(G29&lt;100000)*OR(G29&gt;-100000), "NO","YES")</f>
        <v>NO</v>
      </c>
      <c r="M29" s="323" t="str">
        <f>IF((L29="YES")*AND(I29+J29&lt;1),"Explanation not required, difference less than £200"," ")</f>
        <v xml:space="preserve"> </v>
      </c>
      <c r="N29" s="327"/>
    </row>
    <row r="30" spans="1:22" x14ac:dyDescent="0.2">
      <c r="H30" s="328"/>
      <c r="K30" s="319"/>
      <c r="L30" s="319"/>
      <c r="N30" s="312"/>
    </row>
    <row r="31" spans="1:22" ht="15" x14ac:dyDescent="0.25">
      <c r="C31" s="333" t="s">
        <v>242</v>
      </c>
    </row>
    <row r="32" spans="1:22" x14ac:dyDescent="0.2">
      <c r="O32" s="334"/>
      <c r="P32" s="334"/>
      <c r="Q32" s="334"/>
      <c r="R32" s="334"/>
      <c r="S32" s="334"/>
      <c r="T32" s="334"/>
      <c r="U32" s="334"/>
      <c r="V32" s="334"/>
    </row>
    <row r="33" spans="3:22" ht="15" x14ac:dyDescent="0.25">
      <c r="C33" s="333" t="s">
        <v>243</v>
      </c>
      <c r="N33" s="334"/>
      <c r="O33" s="334"/>
      <c r="P33" s="334"/>
      <c r="Q33" s="334"/>
      <c r="R33" s="334"/>
      <c r="S33" s="334"/>
      <c r="T33" s="334"/>
      <c r="U33" s="334"/>
      <c r="V33" s="334"/>
    </row>
    <row r="35" spans="3:22" ht="15" x14ac:dyDescent="0.25">
      <c r="C35" s="333" t="s">
        <v>244</v>
      </c>
    </row>
  </sheetData>
  <mergeCells count="11">
    <mergeCell ref="A19:C19"/>
    <mergeCell ref="A21:C21"/>
    <mergeCell ref="A25:C25"/>
    <mergeCell ref="A27:C27"/>
    <mergeCell ref="A29:C29"/>
    <mergeCell ref="A17:C17"/>
    <mergeCell ref="A1:K1"/>
    <mergeCell ref="A5:H5"/>
    <mergeCell ref="A11:C11"/>
    <mergeCell ref="A13:C13"/>
    <mergeCell ref="A15:C15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0"/>
  <dimension ref="A1:D17"/>
  <sheetViews>
    <sheetView workbookViewId="0">
      <selection activeCell="F30" sqref="F30"/>
    </sheetView>
  </sheetViews>
  <sheetFormatPr defaultRowHeight="15" x14ac:dyDescent="0.25"/>
  <cols>
    <col min="1" max="1" width="3" bestFit="1" customWidth="1"/>
    <col min="2" max="2" width="22.5703125" customWidth="1"/>
    <col min="3" max="3" width="12.5703125" customWidth="1"/>
    <col min="4" max="4" width="13.42578125" customWidth="1"/>
  </cols>
  <sheetData>
    <row r="1" spans="1:4" ht="30.75" customHeight="1" x14ac:dyDescent="0.25">
      <c r="A1" s="501" t="s">
        <v>162</v>
      </c>
      <c r="B1" s="501"/>
      <c r="C1" s="501"/>
      <c r="D1" s="501"/>
    </row>
    <row r="2" spans="1:4" x14ac:dyDescent="0.25">
      <c r="A2" s="26"/>
      <c r="B2" s="27"/>
      <c r="C2" s="502" t="s">
        <v>29</v>
      </c>
      <c r="D2" s="502"/>
    </row>
    <row r="3" spans="1:4" x14ac:dyDescent="0.25">
      <c r="A3" s="26"/>
      <c r="B3" s="27"/>
      <c r="C3" s="28">
        <v>45382</v>
      </c>
      <c r="D3" s="28">
        <v>45747</v>
      </c>
    </row>
    <row r="4" spans="1:4" x14ac:dyDescent="0.25">
      <c r="A4" s="29"/>
      <c r="B4" s="30"/>
      <c r="C4" s="31" t="s">
        <v>30</v>
      </c>
      <c r="D4" s="32" t="s">
        <v>30</v>
      </c>
    </row>
    <row r="5" spans="1:4" x14ac:dyDescent="0.25">
      <c r="A5" s="26">
        <v>1</v>
      </c>
      <c r="B5" s="27" t="s">
        <v>31</v>
      </c>
      <c r="C5" s="288">
        <v>29267</v>
      </c>
      <c r="D5" s="288">
        <f>SUM(C11)</f>
        <v>25912</v>
      </c>
    </row>
    <row r="6" spans="1:4" x14ac:dyDescent="0.25">
      <c r="A6" s="26">
        <v>2</v>
      </c>
      <c r="B6" s="27" t="s">
        <v>32</v>
      </c>
      <c r="C6" s="288">
        <v>11100</v>
      </c>
      <c r="D6" s="288" t="e">
        <f>SUM(Cashbook!#REF!)</f>
        <v>#REF!</v>
      </c>
    </row>
    <row r="7" spans="1:4" x14ac:dyDescent="0.25">
      <c r="A7" s="26">
        <v>3</v>
      </c>
      <c r="B7" s="27" t="s">
        <v>33</v>
      </c>
      <c r="C7" s="288">
        <v>19970</v>
      </c>
      <c r="D7" s="288" t="e">
        <f>SUM(Cashbook!#REF!)+(Reserves!P22)</f>
        <v>#REF!</v>
      </c>
    </row>
    <row r="8" spans="1:4" x14ac:dyDescent="0.25">
      <c r="A8" s="26">
        <v>4</v>
      </c>
      <c r="B8" s="27" t="s">
        <v>34</v>
      </c>
      <c r="C8" s="288">
        <v>7496</v>
      </c>
      <c r="D8" s="288" t="e">
        <f>SUM(Cashbook!#REF!)</f>
        <v>#REF!</v>
      </c>
    </row>
    <row r="9" spans="1:4" ht="26.25" x14ac:dyDescent="0.25">
      <c r="A9" s="26">
        <v>5</v>
      </c>
      <c r="B9" s="27" t="s">
        <v>35</v>
      </c>
      <c r="C9" s="288">
        <f>-C1015780</f>
        <v>0</v>
      </c>
      <c r="D9" s="288">
        <v>0</v>
      </c>
    </row>
    <row r="10" spans="1:4" x14ac:dyDescent="0.25">
      <c r="A10" s="26">
        <v>6</v>
      </c>
      <c r="B10" s="27" t="s">
        <v>36</v>
      </c>
      <c r="C10" s="288">
        <v>26929</v>
      </c>
      <c r="D10" s="288" t="e">
        <f>SUM(Cashbook!#REF!)</f>
        <v>#REF!</v>
      </c>
    </row>
    <row r="11" spans="1:4" ht="26.25" x14ac:dyDescent="0.25">
      <c r="A11" s="26">
        <v>7</v>
      </c>
      <c r="B11" s="27" t="s">
        <v>37</v>
      </c>
      <c r="C11" s="288">
        <f>C5+C6+C7-C8-C9-C10</f>
        <v>25912</v>
      </c>
      <c r="D11" s="288" t="e">
        <f>D5+D6+D7-D8-D9-D10</f>
        <v>#REF!</v>
      </c>
    </row>
    <row r="12" spans="1:4" ht="26.25" x14ac:dyDescent="0.25">
      <c r="A12" s="26">
        <v>8</v>
      </c>
      <c r="B12" s="27" t="s">
        <v>38</v>
      </c>
      <c r="C12" s="288">
        <v>29267</v>
      </c>
      <c r="D12" s="288">
        <f>SUM('Bank Recon'!D33)</f>
        <v>22047.620000000003</v>
      </c>
    </row>
    <row r="13" spans="1:4" ht="39" x14ac:dyDescent="0.25">
      <c r="A13" s="26">
        <v>9</v>
      </c>
      <c r="B13" s="27" t="s">
        <v>39</v>
      </c>
      <c r="C13" s="288">
        <v>234243</v>
      </c>
      <c r="D13" s="288">
        <v>234948</v>
      </c>
    </row>
    <row r="14" spans="1:4" x14ac:dyDescent="0.25">
      <c r="A14" s="26">
        <v>10</v>
      </c>
      <c r="B14" s="27" t="s">
        <v>40</v>
      </c>
      <c r="C14" s="288">
        <v>0</v>
      </c>
      <c r="D14" s="288">
        <v>0</v>
      </c>
    </row>
    <row r="15" spans="1:4" ht="15.75" thickBot="1" x14ac:dyDescent="0.3">
      <c r="A15" s="33"/>
      <c r="B15" s="34"/>
      <c r="C15" s="34"/>
      <c r="D15" s="34"/>
    </row>
    <row r="16" spans="1:4" x14ac:dyDescent="0.25">
      <c r="A16" s="35"/>
      <c r="B16" s="35"/>
      <c r="C16" s="36"/>
      <c r="D16" s="37"/>
    </row>
    <row r="17" spans="1:4" x14ac:dyDescent="0.25">
      <c r="A17" s="35"/>
      <c r="B17" s="35"/>
      <c r="C17" s="38"/>
      <c r="D17" s="35"/>
    </row>
  </sheetData>
  <mergeCells count="2">
    <mergeCell ref="A1:D1"/>
    <mergeCell ref="C2:D2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6</vt:i4>
      </vt:variant>
    </vt:vector>
  </HeadingPairs>
  <TitlesOfParts>
    <vt:vector size="17" baseType="lpstr">
      <vt:lpstr>2024-25 Running</vt:lpstr>
      <vt:lpstr>Hall 2024-25 Running</vt:lpstr>
      <vt:lpstr>Ear Marked Funds</vt:lpstr>
      <vt:lpstr>Cashbook</vt:lpstr>
      <vt:lpstr>Reserves</vt:lpstr>
      <vt:lpstr>Bank Recon</vt:lpstr>
      <vt:lpstr>Year to Date</vt:lpstr>
      <vt:lpstr>Variances</vt:lpstr>
      <vt:lpstr>Annual Return</vt:lpstr>
      <vt:lpstr>Budget 2025-26</vt:lpstr>
      <vt:lpstr>Hall Budget 2025-26</vt:lpstr>
      <vt:lpstr>'2024-25 Running'!Print_Area</vt:lpstr>
      <vt:lpstr>'Bank Recon'!Print_Area</vt:lpstr>
      <vt:lpstr>Cashbook!Print_Area</vt:lpstr>
      <vt:lpstr>Reserves!Print_Area</vt:lpstr>
      <vt:lpstr>Variances!Print_Area</vt:lpstr>
      <vt:lpstr>'Year to Date'!Print_Area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Carle Petersen</dc:creator>
  <cp:lastModifiedBy>Charlotte Rust Parish Clerk</cp:lastModifiedBy>
  <cp:revision/>
  <cp:lastPrinted>2025-02-28T10:13:52Z</cp:lastPrinted>
  <dcterms:created xsi:type="dcterms:W3CDTF">2012-08-13T19:33:46Z</dcterms:created>
  <dcterms:modified xsi:type="dcterms:W3CDTF">2025-07-02T13:43:11Z</dcterms:modified>
</cp:coreProperties>
</file>