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0eae7e81ca758fd/1 Parish Council/Finance/2026-2027/"/>
    </mc:Choice>
  </mc:AlternateContent>
  <xr:revisionPtr revIDLastSave="1" documentId="8_{4504B1FE-3E13-43A2-A0B7-2A8AC8754C28}" xr6:coauthVersionLast="47" xr6:coauthVersionMax="47" xr10:uidLastSave="{DEB6E99E-326F-413B-917A-9095DFE8F6D3}"/>
  <bookViews>
    <workbookView xWindow="-120" yWindow="-120" windowWidth="19440" windowHeight="14880" tabRatio="820" firstSheet="9" activeTab="9" xr2:uid="{00000000-000D-0000-FFFF-FFFF00000000}"/>
  </bookViews>
  <sheets>
    <sheet name="2024-25 Running" sheetId="17" state="hidden" r:id="rId1"/>
    <sheet name="Hall 2024-25 Running" sheetId="21" state="hidden" r:id="rId2"/>
    <sheet name="Ear Marked Funds" sheetId="20" state="hidden" r:id="rId3"/>
    <sheet name="Bank Account" sheetId="27" state="hidden" r:id="rId4"/>
    <sheet name="Reserves" sheetId="26" state="hidden" r:id="rId5"/>
    <sheet name="Bank Recon" sheetId="13" state="hidden" r:id="rId6"/>
    <sheet name="Year to Date" sheetId="10" state="hidden" r:id="rId7"/>
    <sheet name="Variances" sheetId="25" state="hidden" r:id="rId8"/>
    <sheet name="Annual Return" sheetId="16" state="hidden" r:id="rId9"/>
    <sheet name="Budget 2025-26" sheetId="19" r:id="rId10"/>
    <sheet name="Hall Budget 2025-26" sheetId="28" state="hidden" r:id="rId11"/>
  </sheets>
  <definedNames>
    <definedName name="_xlnm._FilterDatabase" localSheetId="3" hidden="1">'Bank Account'!$A$5:$AO$171</definedName>
    <definedName name="_xlnm._FilterDatabase" localSheetId="4" hidden="1">Reserves!$A$5:$L$9</definedName>
    <definedName name="_xlnm.Print_Area" localSheetId="0">'2024-25 Running'!$A$1:$I$57</definedName>
    <definedName name="_xlnm.Print_Area" localSheetId="3">'Bank Account'!$A$1:$AM$175</definedName>
    <definedName name="_xlnm.Print_Area" localSheetId="5">'Bank Recon'!$A$1:$D$36</definedName>
    <definedName name="_xlnm.Print_Area" localSheetId="4">Reserves!$B$1:$L$9</definedName>
    <definedName name="_xlnm.Print_Area" localSheetId="7">Variances!$A$1:$N$33</definedName>
    <definedName name="_xlnm.Print_Area" localSheetId="6">'Year to Date'!$A$1:$D$60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9" l="1"/>
  <c r="J5" i="19"/>
  <c r="J6" i="19"/>
  <c r="J7" i="19"/>
  <c r="J8" i="19"/>
  <c r="J9" i="19"/>
  <c r="J10" i="19"/>
  <c r="J11" i="19"/>
  <c r="J12" i="19"/>
  <c r="J13" i="19"/>
  <c r="J14" i="19"/>
  <c r="J15" i="19"/>
  <c r="J16" i="19"/>
  <c r="J17" i="19"/>
  <c r="J3" i="19"/>
  <c r="I17" i="19"/>
  <c r="I4" i="19"/>
  <c r="I3" i="19" s="1"/>
  <c r="E5" i="19"/>
  <c r="E6" i="19"/>
  <c r="E7" i="19"/>
  <c r="E8" i="19"/>
  <c r="E9" i="19"/>
  <c r="E10" i="19"/>
  <c r="E11" i="19"/>
  <c r="E12" i="19"/>
  <c r="E13" i="19"/>
  <c r="E14" i="19"/>
  <c r="E15" i="19"/>
  <c r="E16" i="19"/>
  <c r="E17" i="19"/>
  <c r="E18" i="19"/>
  <c r="E19" i="19"/>
  <c r="E20" i="19"/>
  <c r="E21" i="19"/>
  <c r="E22" i="19"/>
  <c r="E23" i="19"/>
  <c r="E24" i="19"/>
  <c r="E25" i="19"/>
  <c r="E26" i="19"/>
  <c r="E27" i="19"/>
  <c r="E28" i="19"/>
  <c r="E29" i="19"/>
  <c r="E30" i="19"/>
  <c r="E31" i="19"/>
  <c r="E32" i="19"/>
  <c r="E33" i="19"/>
  <c r="E34" i="19"/>
  <c r="D35" i="19"/>
  <c r="D4" i="19"/>
  <c r="H17" i="19"/>
  <c r="C4" i="19"/>
  <c r="C35" i="19"/>
  <c r="E35" i="19" l="1"/>
  <c r="E4" i="19"/>
  <c r="D3" i="19"/>
  <c r="C3" i="19"/>
  <c r="E3" i="19" s="1"/>
  <c r="Q12" i="26"/>
  <c r="Q13" i="26"/>
  <c r="Q14" i="26"/>
  <c r="F10" i="28"/>
  <c r="E10" i="28"/>
  <c r="D13" i="28"/>
  <c r="C14" i="28"/>
  <c r="G14" i="28" s="1"/>
  <c r="C13" i="28"/>
  <c r="G13" i="28" s="1"/>
  <c r="C12" i="28"/>
  <c r="C10" i="28" s="1"/>
  <c r="C11" i="28"/>
  <c r="B10" i="28"/>
  <c r="B14" i="28"/>
  <c r="B13" i="28"/>
  <c r="B12" i="28"/>
  <c r="B11" i="28"/>
  <c r="G12" i="28"/>
  <c r="G11" i="28"/>
  <c r="G10" i="28" s="1"/>
  <c r="G7" i="28"/>
  <c r="D7" i="28"/>
  <c r="B7" i="28"/>
  <c r="G6" i="28"/>
  <c r="B6" i="28"/>
  <c r="G5" i="28"/>
  <c r="D5" i="28"/>
  <c r="B5" i="28"/>
  <c r="G4" i="28"/>
  <c r="D4" i="28"/>
  <c r="B4" i="28"/>
  <c r="G3" i="28"/>
  <c r="B3" i="28"/>
  <c r="C2" i="28"/>
  <c r="F2" i="28"/>
  <c r="E2" i="28"/>
  <c r="B2" i="28" l="1"/>
  <c r="G2" i="28"/>
  <c r="J125" i="27"/>
  <c r="J126" i="27"/>
  <c r="J127" i="27"/>
  <c r="J128" i="27"/>
  <c r="J129" i="27"/>
  <c r="J130" i="27"/>
  <c r="J131" i="27"/>
  <c r="J132" i="27"/>
  <c r="J133" i="27"/>
  <c r="J134" i="27"/>
  <c r="J135" i="27"/>
  <c r="J136" i="27"/>
  <c r="J137" i="27"/>
  <c r="J138" i="27"/>
  <c r="J139" i="27"/>
  <c r="J140" i="27"/>
  <c r="J141" i="27"/>
  <c r="J142" i="27"/>
  <c r="J143" i="27"/>
  <c r="J144" i="27"/>
  <c r="J145" i="27"/>
  <c r="J146" i="27"/>
  <c r="J147" i="27"/>
  <c r="J148" i="27"/>
  <c r="J149" i="27"/>
  <c r="J150" i="27"/>
  <c r="J151" i="27"/>
  <c r="J152" i="27"/>
  <c r="J153" i="27"/>
  <c r="J154" i="27"/>
  <c r="J155" i="27"/>
  <c r="J156" i="27"/>
  <c r="J157" i="27"/>
  <c r="J158" i="27"/>
  <c r="J159" i="27"/>
  <c r="J160" i="27"/>
  <c r="J161" i="27"/>
  <c r="J162" i="27"/>
  <c r="J163" i="27"/>
  <c r="J164" i="27"/>
  <c r="J165" i="27"/>
  <c r="J166" i="27"/>
  <c r="J167" i="27"/>
  <c r="J168" i="27"/>
  <c r="J169" i="27"/>
  <c r="J170" i="27"/>
  <c r="J124" i="27"/>
  <c r="J123" i="27"/>
  <c r="H123" i="27"/>
  <c r="H124" i="27"/>
  <c r="H125" i="27"/>
  <c r="H126" i="27" s="1"/>
  <c r="H127" i="27" s="1"/>
  <c r="H128" i="27" s="1"/>
  <c r="H129" i="27" s="1"/>
  <c r="H130" i="27" s="1"/>
  <c r="H131" i="27" s="1"/>
  <c r="H132" i="27" s="1"/>
  <c r="H133" i="27" s="1"/>
  <c r="H134" i="27" s="1"/>
  <c r="H135" i="27" s="1"/>
  <c r="H136" i="27" s="1"/>
  <c r="H137" i="27" s="1"/>
  <c r="H138" i="27" s="1"/>
  <c r="H139" i="27" s="1"/>
  <c r="H140" i="27" s="1"/>
  <c r="H141" i="27" s="1"/>
  <c r="H142" i="27" s="1"/>
  <c r="H143" i="27" s="1"/>
  <c r="H144" i="27" s="1"/>
  <c r="H145" i="27" s="1"/>
  <c r="H146" i="27" s="1"/>
  <c r="H147" i="27" s="1"/>
  <c r="H148" i="27" s="1"/>
  <c r="H149" i="27" s="1"/>
  <c r="H150" i="27" s="1"/>
  <c r="H151" i="27" s="1"/>
  <c r="H152" i="27" s="1"/>
  <c r="H153" i="27" s="1"/>
  <c r="H154" i="27" s="1"/>
  <c r="H155" i="27" s="1"/>
  <c r="H156" i="27" s="1"/>
  <c r="H157" i="27" s="1"/>
  <c r="H158" i="27" s="1"/>
  <c r="H159" i="27" s="1"/>
  <c r="H160" i="27" s="1"/>
  <c r="H161" i="27" s="1"/>
  <c r="H162" i="27" s="1"/>
  <c r="H163" i="27" s="1"/>
  <c r="H164" i="27" s="1"/>
  <c r="H165" i="27" s="1"/>
  <c r="H166" i="27" s="1"/>
  <c r="H167" i="27" s="1"/>
  <c r="H168" i="27" s="1"/>
  <c r="H169" i="27" s="1"/>
  <c r="H170" i="27" s="1"/>
  <c r="BA123" i="27"/>
  <c r="BA124" i="27"/>
  <c r="BA125" i="27"/>
  <c r="BA126" i="27"/>
  <c r="BA127" i="27"/>
  <c r="BA128" i="27"/>
  <c r="BA129" i="27"/>
  <c r="BA130" i="27"/>
  <c r="BA131" i="27"/>
  <c r="BA132" i="27"/>
  <c r="BA133" i="27"/>
  <c r="BA134" i="27"/>
  <c r="BA135" i="27"/>
  <c r="BA136" i="27"/>
  <c r="BA137" i="27"/>
  <c r="BA138" i="27"/>
  <c r="BA139" i="27"/>
  <c r="BA140" i="27"/>
  <c r="BA141" i="27"/>
  <c r="BA142" i="27"/>
  <c r="BA143" i="27"/>
  <c r="BA144" i="27"/>
  <c r="BA145" i="27"/>
  <c r="BA146" i="27"/>
  <c r="BA147" i="27"/>
  <c r="BA148" i="27"/>
  <c r="BA149" i="27"/>
  <c r="BA150" i="27"/>
  <c r="BA151" i="27"/>
  <c r="BA152" i="27"/>
  <c r="BA153" i="27"/>
  <c r="BA154" i="27"/>
  <c r="BA155" i="27"/>
  <c r="BA156" i="27"/>
  <c r="BA157" i="27"/>
  <c r="BA158" i="27"/>
  <c r="BA159" i="27"/>
  <c r="BA160" i="27"/>
  <c r="BA161" i="27"/>
  <c r="BA162" i="27"/>
  <c r="BA163" i="27"/>
  <c r="BA164" i="27"/>
  <c r="BA165" i="27"/>
  <c r="BA166" i="27"/>
  <c r="BA167" i="27"/>
  <c r="BA168" i="27"/>
  <c r="BA169" i="27"/>
  <c r="BA170" i="27"/>
  <c r="AO123" i="27"/>
  <c r="AO124" i="27"/>
  <c r="AO125" i="27"/>
  <c r="AO126" i="27"/>
  <c r="AO127" i="27"/>
  <c r="AO128" i="27"/>
  <c r="AO129" i="27"/>
  <c r="AO130" i="27"/>
  <c r="AO131" i="27"/>
  <c r="AO132" i="27"/>
  <c r="AO133" i="27"/>
  <c r="AO134" i="27"/>
  <c r="AO135" i="27"/>
  <c r="AO136" i="27"/>
  <c r="AO137" i="27"/>
  <c r="AO138" i="27"/>
  <c r="AO139" i="27"/>
  <c r="AO140" i="27"/>
  <c r="AO141" i="27"/>
  <c r="AO142" i="27"/>
  <c r="AO143" i="27"/>
  <c r="AO144" i="27"/>
  <c r="AO145" i="27"/>
  <c r="AO146" i="27"/>
  <c r="AO147" i="27"/>
  <c r="AO148" i="27"/>
  <c r="AO149" i="27"/>
  <c r="AO150" i="27"/>
  <c r="AO151" i="27"/>
  <c r="AO152" i="27"/>
  <c r="AO153" i="27"/>
  <c r="AO154" i="27"/>
  <c r="AO155" i="27"/>
  <c r="AO156" i="27"/>
  <c r="AO157" i="27"/>
  <c r="AO158" i="27"/>
  <c r="AO159" i="27"/>
  <c r="AO160" i="27"/>
  <c r="AO161" i="27"/>
  <c r="AO162" i="27"/>
  <c r="AO163" i="27"/>
  <c r="AO164" i="27"/>
  <c r="AO165" i="27"/>
  <c r="AO166" i="27"/>
  <c r="AO167" i="27"/>
  <c r="AO168" i="27"/>
  <c r="AO169" i="27"/>
  <c r="AO170" i="27"/>
  <c r="H12" i="26" l="1"/>
  <c r="H13" i="26"/>
  <c r="H14" i="26"/>
  <c r="G21" i="26"/>
  <c r="J113" i="27"/>
  <c r="J114" i="27"/>
  <c r="J115" i="27"/>
  <c r="J116" i="27"/>
  <c r="J117" i="27"/>
  <c r="J118" i="27"/>
  <c r="J119" i="27"/>
  <c r="J120" i="27"/>
  <c r="J121" i="27"/>
  <c r="J122" i="27"/>
  <c r="BA113" i="27"/>
  <c r="BA114" i="27"/>
  <c r="BA115" i="27"/>
  <c r="BA116" i="27"/>
  <c r="BA117" i="27"/>
  <c r="BA118" i="27"/>
  <c r="BA119" i="27"/>
  <c r="BA120" i="27"/>
  <c r="BA121" i="27"/>
  <c r="BA122" i="27"/>
  <c r="AO113" i="27"/>
  <c r="AO114" i="27"/>
  <c r="AO115" i="27"/>
  <c r="AO116" i="27"/>
  <c r="AO117" i="27"/>
  <c r="AO118" i="27"/>
  <c r="AO119" i="27"/>
  <c r="AO120" i="27"/>
  <c r="AO121" i="27"/>
  <c r="AO122" i="27"/>
  <c r="Q11" i="26"/>
  <c r="BA105" i="27"/>
  <c r="BA106" i="27"/>
  <c r="BA107" i="27"/>
  <c r="BA108" i="27"/>
  <c r="BA109" i="27"/>
  <c r="BA110" i="27"/>
  <c r="BA111" i="27"/>
  <c r="BA112" i="27"/>
  <c r="AO112" i="27"/>
  <c r="J112" i="27"/>
  <c r="Q10" i="26"/>
  <c r="N7" i="26"/>
  <c r="N9" i="26"/>
  <c r="N14" i="26"/>
  <c r="N15" i="26" s="1"/>
  <c r="F21" i="26"/>
  <c r="G175" i="27"/>
  <c r="AO104" i="27"/>
  <c r="AO105" i="27"/>
  <c r="AO106" i="27"/>
  <c r="AO107" i="27"/>
  <c r="AO108" i="27"/>
  <c r="AO109" i="27"/>
  <c r="AO110" i="27"/>
  <c r="AO111" i="27"/>
  <c r="J104" i="27"/>
  <c r="J105" i="27"/>
  <c r="J106" i="27"/>
  <c r="J107" i="27"/>
  <c r="J108" i="27"/>
  <c r="J109" i="27"/>
  <c r="J110" i="27"/>
  <c r="J99" i="27" l="1"/>
  <c r="J100" i="27"/>
  <c r="J101" i="27"/>
  <c r="J102" i="27"/>
  <c r="J103" i="27"/>
  <c r="J111" i="27"/>
  <c r="J92" i="27"/>
  <c r="J93" i="27"/>
  <c r="J94" i="27"/>
  <c r="J95" i="27"/>
  <c r="J96" i="27"/>
  <c r="J97" i="27"/>
  <c r="J98" i="27"/>
  <c r="BA98" i="27" l="1"/>
  <c r="BA99" i="27"/>
  <c r="BA100" i="27"/>
  <c r="BA101" i="27"/>
  <c r="BA102" i="27"/>
  <c r="BA103" i="27"/>
  <c r="BA104" i="27"/>
  <c r="AO98" i="27"/>
  <c r="AO99" i="27"/>
  <c r="AO100" i="27"/>
  <c r="AO101" i="27"/>
  <c r="AO102" i="27"/>
  <c r="AO103" i="27"/>
  <c r="AO91" i="27"/>
  <c r="AO92" i="27"/>
  <c r="AO93" i="27"/>
  <c r="AO94" i="27"/>
  <c r="AO95" i="27"/>
  <c r="AO96" i="27"/>
  <c r="AO97" i="27"/>
  <c r="BA91" i="27"/>
  <c r="BA92" i="27"/>
  <c r="BA93" i="27"/>
  <c r="BA94" i="27"/>
  <c r="BA95" i="27"/>
  <c r="BA96" i="27"/>
  <c r="BA97" i="27"/>
  <c r="J91" i="27"/>
  <c r="C11" i="16"/>
  <c r="AY171" i="27"/>
  <c r="AY173" i="27" s="1"/>
  <c r="I11" i="17" s="1"/>
  <c r="BA56" i="27"/>
  <c r="BA54" i="27"/>
  <c r="AO26" i="27"/>
  <c r="AO27" i="27"/>
  <c r="M15" i="26"/>
  <c r="I37" i="17" s="1"/>
  <c r="AO79" i="27"/>
  <c r="AO78" i="27"/>
  <c r="J78" i="27"/>
  <c r="AO59" i="27"/>
  <c r="AO55" i="27"/>
  <c r="F175" i="27" l="1"/>
  <c r="O171" i="27"/>
  <c r="O173" i="27" s="1"/>
  <c r="F15" i="26"/>
  <c r="F17" i="26" s="1"/>
  <c r="G15" i="26"/>
  <c r="Q8" i="26"/>
  <c r="Q9" i="26"/>
  <c r="Q6" i="26"/>
  <c r="H4" i="26"/>
  <c r="H6" i="26" s="1"/>
  <c r="H7" i="26" s="1"/>
  <c r="H8" i="26" s="1"/>
  <c r="H9" i="26" s="1"/>
  <c r="H10" i="26" s="1"/>
  <c r="H11" i="26" s="1"/>
  <c r="H4" i="27"/>
  <c r="BA20" i="27"/>
  <c r="BA21" i="27"/>
  <c r="BA22" i="27"/>
  <c r="BA23" i="27"/>
  <c r="BA25" i="27"/>
  <c r="BA28" i="27"/>
  <c r="BA29" i="27"/>
  <c r="BA32" i="27"/>
  <c r="BA30" i="27"/>
  <c r="BA27" i="27"/>
  <c r="BA31" i="27"/>
  <c r="BA35" i="27"/>
  <c r="BA34" i="27"/>
  <c r="BA36" i="27"/>
  <c r="BA37" i="27"/>
  <c r="BA33" i="27"/>
  <c r="BA24" i="27"/>
  <c r="BA26" i="27"/>
  <c r="BA39" i="27"/>
  <c r="BA38" i="27"/>
  <c r="BA40" i="27"/>
  <c r="BA41" i="27"/>
  <c r="BA42" i="27"/>
  <c r="BA43" i="27"/>
  <c r="BA46" i="27"/>
  <c r="BA47" i="27"/>
  <c r="BA45" i="27"/>
  <c r="BA44" i="27"/>
  <c r="BA49" i="27"/>
  <c r="BA48" i="27"/>
  <c r="BA50" i="27"/>
  <c r="BA51" i="27"/>
  <c r="BA52" i="27"/>
  <c r="BA53" i="27"/>
  <c r="BA55" i="27"/>
  <c r="BA57" i="27"/>
  <c r="BA58" i="27"/>
  <c r="BA60" i="27"/>
  <c r="BA59" i="27"/>
  <c r="BA61" i="27"/>
  <c r="BA62" i="27"/>
  <c r="BA63" i="27"/>
  <c r="BA64" i="27"/>
  <c r="BA73" i="27"/>
  <c r="BA69" i="27"/>
  <c r="BA67" i="27"/>
  <c r="BA68" i="27"/>
  <c r="BA72" i="27"/>
  <c r="BA70" i="27"/>
  <c r="BA71" i="27"/>
  <c r="BA66" i="27"/>
  <c r="BA65" i="27"/>
  <c r="BA74" i="27"/>
  <c r="BA76" i="27"/>
  <c r="BA75" i="27"/>
  <c r="BA77" i="27"/>
  <c r="BA80" i="27"/>
  <c r="BA79" i="27"/>
  <c r="BA81" i="27"/>
  <c r="BA82" i="27"/>
  <c r="BA84" i="27"/>
  <c r="BA83" i="27"/>
  <c r="BA85" i="27"/>
  <c r="BA86" i="27"/>
  <c r="BA87" i="27"/>
  <c r="BA88" i="27"/>
  <c r="BA89" i="27"/>
  <c r="BA90" i="27"/>
  <c r="BA15" i="27"/>
  <c r="BA7" i="27"/>
  <c r="BA9" i="27"/>
  <c r="Z171" i="27"/>
  <c r="Z173" i="27" s="1"/>
  <c r="AO28" i="27"/>
  <c r="AO29" i="27"/>
  <c r="AO32" i="27"/>
  <c r="AO30" i="27"/>
  <c r="AO31" i="27"/>
  <c r="AO37" i="27"/>
  <c r="AO33" i="27"/>
  <c r="AO24" i="27"/>
  <c r="AO39" i="27"/>
  <c r="AO38" i="27"/>
  <c r="AO46" i="27"/>
  <c r="AO47" i="27"/>
  <c r="AO45" i="27"/>
  <c r="AO44" i="27"/>
  <c r="AO50" i="27"/>
  <c r="AO52" i="27"/>
  <c r="AO53" i="27"/>
  <c r="AO60" i="27"/>
  <c r="AO69" i="27"/>
  <c r="AO67" i="27"/>
  <c r="AO68" i="27"/>
  <c r="AO72" i="27"/>
  <c r="AO70" i="27"/>
  <c r="AO71" i="27"/>
  <c r="AO66" i="27"/>
  <c r="AO65" i="27"/>
  <c r="AO74" i="27"/>
  <c r="AO80" i="27"/>
  <c r="AO81" i="27"/>
  <c r="AO82" i="27"/>
  <c r="AO84" i="27"/>
  <c r="AO83" i="27"/>
  <c r="AO85" i="27"/>
  <c r="AO86" i="27"/>
  <c r="AO87" i="27"/>
  <c r="AO88" i="27"/>
  <c r="AO89" i="27"/>
  <c r="AO90" i="27"/>
  <c r="AO8" i="27"/>
  <c r="AO13" i="27"/>
  <c r="AO12" i="27"/>
  <c r="AO11" i="27"/>
  <c r="AO14" i="27"/>
  <c r="AO6" i="27"/>
  <c r="J8" i="27"/>
  <c r="J13" i="27"/>
  <c r="J12" i="27"/>
  <c r="J11" i="27"/>
  <c r="J14" i="27"/>
  <c r="J10" i="27"/>
  <c r="J18" i="27"/>
  <c r="J17" i="27"/>
  <c r="J16" i="27"/>
  <c r="J19" i="27"/>
  <c r="J23" i="27"/>
  <c r="J28" i="27"/>
  <c r="J29" i="27"/>
  <c r="J32" i="27"/>
  <c r="J30" i="27"/>
  <c r="J27" i="27"/>
  <c r="J31" i="27"/>
  <c r="J37" i="27"/>
  <c r="J33" i="27"/>
  <c r="J24" i="27"/>
  <c r="J26" i="27"/>
  <c r="J39" i="27"/>
  <c r="J38" i="27"/>
  <c r="J46" i="27"/>
  <c r="J47" i="27"/>
  <c r="J45" i="27"/>
  <c r="J44" i="27"/>
  <c r="J50" i="27"/>
  <c r="J52" i="27"/>
  <c r="J53" i="27"/>
  <c r="J55" i="27"/>
  <c r="J60" i="27"/>
  <c r="J59" i="27"/>
  <c r="J69" i="27"/>
  <c r="J67" i="27"/>
  <c r="J68" i="27"/>
  <c r="J72" i="27"/>
  <c r="J70" i="27"/>
  <c r="J71" i="27"/>
  <c r="J66" i="27"/>
  <c r="J65" i="27"/>
  <c r="J74" i="27"/>
  <c r="J80" i="27"/>
  <c r="J79" i="27"/>
  <c r="J81" i="27"/>
  <c r="J82" i="27"/>
  <c r="J84" i="27"/>
  <c r="J83" i="27"/>
  <c r="J85" i="27"/>
  <c r="J86" i="27"/>
  <c r="J87" i="27"/>
  <c r="J88" i="27"/>
  <c r="J89" i="27"/>
  <c r="J90" i="27"/>
  <c r="AZ171" i="27"/>
  <c r="AZ173" i="27" s="1"/>
  <c r="AX171" i="27"/>
  <c r="AX173" i="27" s="1"/>
  <c r="AW171" i="27"/>
  <c r="AW173" i="27" s="1"/>
  <c r="AV171" i="27"/>
  <c r="AV173" i="27" s="1"/>
  <c r="AU171" i="27"/>
  <c r="AU173" i="27" s="1"/>
  <c r="AT171" i="27"/>
  <c r="AT173" i="27" s="1"/>
  <c r="AS171" i="27"/>
  <c r="AS173" i="27" s="1"/>
  <c r="AR171" i="27"/>
  <c r="AR173" i="27" s="1"/>
  <c r="AQ171" i="27"/>
  <c r="AQ173" i="27" s="1"/>
  <c r="AR175" i="27" s="1"/>
  <c r="D6" i="16" s="1"/>
  <c r="AN171" i="27"/>
  <c r="AN173" i="27" s="1"/>
  <c r="AM171" i="27"/>
  <c r="AM173" i="27" s="1"/>
  <c r="AL171" i="27"/>
  <c r="AL173" i="27" s="1"/>
  <c r="AK171" i="27"/>
  <c r="AK173" i="27" s="1"/>
  <c r="AJ171" i="27"/>
  <c r="AJ173" i="27" s="1"/>
  <c r="AI171" i="27"/>
  <c r="AI173" i="27" s="1"/>
  <c r="AH171" i="27"/>
  <c r="AH173" i="27" s="1"/>
  <c r="AG171" i="27"/>
  <c r="AG173" i="27" s="1"/>
  <c r="AF171" i="27"/>
  <c r="AF173" i="27" s="1"/>
  <c r="AE171" i="27"/>
  <c r="AE173" i="27" s="1"/>
  <c r="AD171" i="27"/>
  <c r="AD173" i="27" s="1"/>
  <c r="AC171" i="27"/>
  <c r="AC173" i="27" s="1"/>
  <c r="AB171" i="27"/>
  <c r="AB173" i="27" s="1"/>
  <c r="AA171" i="27"/>
  <c r="AA173" i="27" s="1"/>
  <c r="Y171" i="27"/>
  <c r="Y173" i="27" s="1"/>
  <c r="X171" i="27"/>
  <c r="X173" i="27" s="1"/>
  <c r="W171" i="27"/>
  <c r="W173" i="27" s="1"/>
  <c r="V171" i="27"/>
  <c r="V173" i="27" s="1"/>
  <c r="U171" i="27"/>
  <c r="U173" i="27" s="1"/>
  <c r="T171" i="27"/>
  <c r="T173" i="27" s="1"/>
  <c r="S171" i="27"/>
  <c r="S173" i="27" s="1"/>
  <c r="R171" i="27"/>
  <c r="R173" i="27" s="1"/>
  <c r="Q171" i="27"/>
  <c r="Q173" i="27" s="1"/>
  <c r="P171" i="27"/>
  <c r="P173" i="27" s="1"/>
  <c r="N171" i="27"/>
  <c r="N173" i="27" s="1"/>
  <c r="I171" i="27"/>
  <c r="I173" i="27" s="1"/>
  <c r="G171" i="27"/>
  <c r="F171" i="27"/>
  <c r="AO23" i="27"/>
  <c r="BA19" i="27"/>
  <c r="AO19" i="27"/>
  <c r="BA16" i="27"/>
  <c r="AO16" i="27"/>
  <c r="BA17" i="27"/>
  <c r="AO17" i="27"/>
  <c r="BA18" i="27"/>
  <c r="AO18" i="27"/>
  <c r="BA10" i="27"/>
  <c r="AO10" i="27"/>
  <c r="BA14" i="27"/>
  <c r="BA11" i="27"/>
  <c r="BA12" i="27"/>
  <c r="BA13" i="27"/>
  <c r="BA8" i="27"/>
  <c r="BA6" i="27"/>
  <c r="J6" i="27"/>
  <c r="P15" i="26"/>
  <c r="P17" i="26" s="1"/>
  <c r="I12" i="17" s="1"/>
  <c r="J15" i="26"/>
  <c r="J17" i="26" s="1"/>
  <c r="I15" i="26"/>
  <c r="I17" i="26" s="1"/>
  <c r="Q7" i="26"/>
  <c r="C9" i="16"/>
  <c r="G17" i="26" l="1"/>
  <c r="D31" i="13"/>
  <c r="D29" i="13"/>
  <c r="BA173" i="27"/>
  <c r="AZ180" i="27" s="1"/>
  <c r="O175" i="27"/>
  <c r="AO173" i="27"/>
  <c r="AO174" i="27" s="1"/>
  <c r="G173" i="27"/>
  <c r="D30" i="13"/>
  <c r="F173" i="27"/>
  <c r="D28" i="13"/>
  <c r="AN175" i="27"/>
  <c r="I7" i="17"/>
  <c r="I32" i="17"/>
  <c r="I14" i="21"/>
  <c r="I15" i="21"/>
  <c r="I20" i="17"/>
  <c r="I6" i="21"/>
  <c r="D11" i="28" s="1"/>
  <c r="I16" i="21"/>
  <c r="D6" i="28" s="1"/>
  <c r="I36" i="17"/>
  <c r="I24" i="17"/>
  <c r="I13" i="21"/>
  <c r="D3" i="28" s="1"/>
  <c r="I17" i="21"/>
  <c r="I28" i="17"/>
  <c r="I6" i="17"/>
  <c r="I8" i="17"/>
  <c r="I17" i="17"/>
  <c r="I21" i="17"/>
  <c r="I25" i="17"/>
  <c r="I29" i="17"/>
  <c r="I33" i="17"/>
  <c r="I7" i="21"/>
  <c r="D12" i="28" s="1"/>
  <c r="I10" i="17"/>
  <c r="I18" i="17"/>
  <c r="I22" i="17"/>
  <c r="I26" i="17"/>
  <c r="I30" i="17"/>
  <c r="I34" i="17"/>
  <c r="I38" i="17"/>
  <c r="I8" i="21"/>
  <c r="I13" i="17"/>
  <c r="I19" i="17"/>
  <c r="I23" i="17"/>
  <c r="I27" i="17"/>
  <c r="I31" i="17"/>
  <c r="I35" i="17"/>
  <c r="I39" i="17"/>
  <c r="I9" i="21"/>
  <c r="D14" i="28" s="1"/>
  <c r="AZ175" i="27"/>
  <c r="H6" i="27"/>
  <c r="H7" i="27" s="1"/>
  <c r="H8" i="27" s="1"/>
  <c r="H9" i="27" s="1"/>
  <c r="H10" i="27" s="1"/>
  <c r="H11" i="27" s="1"/>
  <c r="H12" i="27" s="1"/>
  <c r="H13" i="27" s="1"/>
  <c r="H14" i="27" s="1"/>
  <c r="H15" i="27" s="1"/>
  <c r="H16" i="27" s="1"/>
  <c r="H17" i="27" s="1"/>
  <c r="H18" i="27" s="1"/>
  <c r="H19" i="27" s="1"/>
  <c r="H20" i="27" s="1"/>
  <c r="H21" i="27" s="1"/>
  <c r="H22" i="27" s="1"/>
  <c r="H23" i="27" s="1"/>
  <c r="H24" i="27" s="1"/>
  <c r="H25" i="27" s="1"/>
  <c r="H26" i="27" s="1"/>
  <c r="H27" i="27" s="1"/>
  <c r="H28" i="27" s="1"/>
  <c r="H29" i="27" s="1"/>
  <c r="H30" i="27" s="1"/>
  <c r="H31" i="27" s="1"/>
  <c r="H32" i="27" s="1"/>
  <c r="H33" i="27" s="1"/>
  <c r="H34" i="27" s="1"/>
  <c r="H35" i="27" s="1"/>
  <c r="H36" i="27" s="1"/>
  <c r="H37" i="27" s="1"/>
  <c r="H38" i="27" s="1"/>
  <c r="H39" i="27" s="1"/>
  <c r="H40" i="27" s="1"/>
  <c r="H41" i="27" s="1"/>
  <c r="H42" i="27" s="1"/>
  <c r="H43" i="27" s="1"/>
  <c r="H15" i="26"/>
  <c r="Q17" i="26"/>
  <c r="Q19" i="26" s="1"/>
  <c r="Q15" i="26"/>
  <c r="AO171" i="27"/>
  <c r="J171" i="27"/>
  <c r="J173" i="27" s="1"/>
  <c r="BA171" i="27"/>
  <c r="XFB171" i="27" s="1"/>
  <c r="D2" i="28" l="1"/>
  <c r="D10" i="28"/>
  <c r="F21" i="25"/>
  <c r="D10" i="16"/>
  <c r="AN177" i="27"/>
  <c r="F17" i="25"/>
  <c r="D8" i="16"/>
  <c r="D33" i="13"/>
  <c r="AZ177" i="27"/>
  <c r="AZ176" i="27"/>
  <c r="H44" i="27"/>
  <c r="H45" i="27" s="1"/>
  <c r="H46" i="27" s="1"/>
  <c r="H47" i="27" s="1"/>
  <c r="H48" i="27" s="1"/>
  <c r="H49" i="27" s="1"/>
  <c r="H50" i="27" s="1"/>
  <c r="H51" i="27" s="1"/>
  <c r="D7" i="16" l="1"/>
  <c r="F15" i="25"/>
  <c r="H52" i="27"/>
  <c r="H53" i="27" s="1"/>
  <c r="H54" i="27" s="1"/>
  <c r="H55" i="27" s="1"/>
  <c r="H56" i="27" s="1"/>
  <c r="H57" i="27" s="1"/>
  <c r="H58" i="27" s="1"/>
  <c r="H59" i="27" s="1"/>
  <c r="H60" i="27" s="1"/>
  <c r="H61" i="27" s="1"/>
  <c r="H62" i="27" s="1"/>
  <c r="H63" i="27" s="1"/>
  <c r="J11" i="17" l="1"/>
  <c r="J37" i="17" l="1"/>
  <c r="D23" i="25"/>
  <c r="M11" i="25" s="1"/>
  <c r="J29" i="25"/>
  <c r="I29" i="25"/>
  <c r="H29" i="25"/>
  <c r="G29" i="25"/>
  <c r="J27" i="25"/>
  <c r="I27" i="25"/>
  <c r="H27" i="25"/>
  <c r="G27" i="25"/>
  <c r="J19" i="25"/>
  <c r="I19" i="25"/>
  <c r="H19" i="25"/>
  <c r="K19" i="25" s="1"/>
  <c r="G19" i="25"/>
  <c r="L27" i="25" l="1"/>
  <c r="M27" i="25" s="1"/>
  <c r="L29" i="25"/>
  <c r="M29" i="25" s="1"/>
  <c r="L19" i="25"/>
  <c r="M19" i="25" s="1"/>
  <c r="K29" i="25"/>
  <c r="K27" i="25"/>
  <c r="C13" i="10" l="1"/>
  <c r="D13" i="10"/>
  <c r="C14" i="10"/>
  <c r="D14" i="10"/>
  <c r="C15" i="10"/>
  <c r="D15" i="10"/>
  <c r="C16" i="10"/>
  <c r="D16" i="10"/>
  <c r="C42" i="10"/>
  <c r="D42" i="10"/>
  <c r="C43" i="10"/>
  <c r="D43" i="10"/>
  <c r="C44" i="10"/>
  <c r="D44" i="10"/>
  <c r="C45" i="10"/>
  <c r="D45" i="10"/>
  <c r="C46" i="10"/>
  <c r="D46" i="10"/>
  <c r="J8" i="21"/>
  <c r="J7" i="21"/>
  <c r="B57" i="10"/>
  <c r="I4" i="21"/>
  <c r="B2" i="20"/>
  <c r="E25" i="20" s="1"/>
  <c r="D21" i="10"/>
  <c r="D22" i="10"/>
  <c r="D23" i="10"/>
  <c r="D24" i="10"/>
  <c r="D25" i="10"/>
  <c r="D26" i="10"/>
  <c r="D27" i="10"/>
  <c r="D28" i="10"/>
  <c r="D29" i="10"/>
  <c r="D30" i="10"/>
  <c r="D31" i="10"/>
  <c r="D32" i="10"/>
  <c r="D33" i="10"/>
  <c r="D34" i="10"/>
  <c r="D35" i="10"/>
  <c r="D36" i="10"/>
  <c r="D37" i="10"/>
  <c r="D38" i="10"/>
  <c r="D39" i="10"/>
  <c r="D40" i="10"/>
  <c r="D41" i="10"/>
  <c r="D20" i="10"/>
  <c r="C41" i="10"/>
  <c r="C40" i="10"/>
  <c r="C39" i="10"/>
  <c r="C38" i="10"/>
  <c r="C37" i="10"/>
  <c r="C36" i="10"/>
  <c r="C35" i="10"/>
  <c r="C34" i="10"/>
  <c r="C33" i="10"/>
  <c r="C32" i="10"/>
  <c r="C31" i="10"/>
  <c r="C30" i="10"/>
  <c r="C29" i="10"/>
  <c r="C28" i="10"/>
  <c r="C27" i="10"/>
  <c r="C26" i="10"/>
  <c r="C25" i="10"/>
  <c r="C24" i="10"/>
  <c r="C23" i="10"/>
  <c r="C22" i="10"/>
  <c r="C21" i="10"/>
  <c r="C20" i="10"/>
  <c r="D12" i="10"/>
  <c r="D11" i="10"/>
  <c r="D10" i="10"/>
  <c r="D9" i="10"/>
  <c r="D8" i="10"/>
  <c r="D7" i="10"/>
  <c r="D6" i="10"/>
  <c r="C12" i="10"/>
  <c r="C11" i="10"/>
  <c r="C10" i="10"/>
  <c r="C9" i="10"/>
  <c r="C8" i="10"/>
  <c r="C7" i="10"/>
  <c r="C6" i="10"/>
  <c r="B14" i="10" l="1"/>
  <c r="B15" i="10"/>
  <c r="B46" i="10"/>
  <c r="J17" i="21"/>
  <c r="C17" i="10"/>
  <c r="J9" i="21" l="1"/>
  <c r="B16" i="10"/>
  <c r="J6" i="21"/>
  <c r="B13" i="10"/>
  <c r="J14" i="21"/>
  <c r="B43" i="10"/>
  <c r="B45" i="10"/>
  <c r="J16" i="21"/>
  <c r="B44" i="10"/>
  <c r="J15" i="21"/>
  <c r="B42" i="10"/>
  <c r="J13" i="21"/>
  <c r="J24" i="17"/>
  <c r="B1" i="20"/>
  <c r="E24" i="20" s="1"/>
  <c r="B21" i="20"/>
  <c r="C18" i="20"/>
  <c r="C19" i="20"/>
  <c r="C20" i="20"/>
  <c r="E18" i="21"/>
  <c r="E21" i="21" s="1"/>
  <c r="A18" i="21"/>
  <c r="A21" i="21" s="1"/>
  <c r="E10" i="21"/>
  <c r="E20" i="21" s="1"/>
  <c r="A10" i="21"/>
  <c r="A20" i="21" s="1"/>
  <c r="B27" i="10" l="1"/>
  <c r="E22" i="21"/>
  <c r="A22" i="21"/>
  <c r="C16" i="20"/>
  <c r="I18" i="21" l="1"/>
  <c r="I10" i="21"/>
  <c r="H4" i="19"/>
  <c r="H3" i="19" s="1"/>
  <c r="B26" i="20" l="1"/>
  <c r="J10" i="21"/>
  <c r="B25" i="20"/>
  <c r="J18" i="21"/>
  <c r="I21" i="21"/>
  <c r="I20" i="21"/>
  <c r="I46" i="17"/>
  <c r="I4" i="17"/>
  <c r="B33" i="13"/>
  <c r="B20" i="13"/>
  <c r="I22" i="21" l="1"/>
  <c r="C17" i="20"/>
  <c r="C21" i="20" s="1"/>
  <c r="B27" i="20"/>
  <c r="B13" i="20" l="1"/>
  <c r="C12" i="20"/>
  <c r="C11" i="20"/>
  <c r="B9" i="20"/>
  <c r="B22" i="20" s="1"/>
  <c r="C8" i="20"/>
  <c r="C7" i="20"/>
  <c r="B14" i="20" l="1"/>
  <c r="C13" i="20"/>
  <c r="C9" i="20"/>
  <c r="C22" i="20" s="1"/>
  <c r="C14" i="20" l="1"/>
  <c r="I49" i="17"/>
  <c r="I48" i="17" s="1"/>
  <c r="J48" i="17" s="1"/>
  <c r="I47" i="17" l="1"/>
  <c r="J41" i="17"/>
  <c r="E14" i="17"/>
  <c r="D47" i="10"/>
  <c r="C47" i="10"/>
  <c r="D17" i="10"/>
  <c r="A40" i="17"/>
  <c r="A14" i="17"/>
  <c r="E40" i="17"/>
  <c r="B41" i="10" l="1"/>
  <c r="B24" i="10"/>
  <c r="B20" i="10"/>
  <c r="D27" i="13"/>
  <c r="D12" i="13"/>
  <c r="A57" i="17"/>
  <c r="I57" i="17"/>
  <c r="A47" i="17" l="1"/>
  <c r="A52" i="17" s="1"/>
  <c r="B25" i="10"/>
  <c r="B34" i="10"/>
  <c r="B28" i="10"/>
  <c r="B22" i="10"/>
  <c r="B31" i="10"/>
  <c r="B39" i="10"/>
  <c r="B32" i="10"/>
  <c r="B33" i="10"/>
  <c r="B21" i="10"/>
  <c r="B30" i="10"/>
  <c r="B38" i="10"/>
  <c r="B36" i="10"/>
  <c r="B26" i="10"/>
  <c r="B35" i="10"/>
  <c r="B23" i="10"/>
  <c r="B40" i="10"/>
  <c r="B29" i="10"/>
  <c r="B37" i="10"/>
  <c r="D5" i="16"/>
  <c r="D11" i="16" s="1"/>
  <c r="B49" i="10"/>
  <c r="A42" i="17"/>
  <c r="E42" i="17"/>
  <c r="A43" i="17"/>
  <c r="E43" i="17"/>
  <c r="I52" i="17"/>
  <c r="H17" i="25" l="1"/>
  <c r="B11" i="10"/>
  <c r="J39" i="17"/>
  <c r="J22" i="17"/>
  <c r="J32" i="17"/>
  <c r="J25" i="17"/>
  <c r="J27" i="17"/>
  <c r="J35" i="17"/>
  <c r="J31" i="17"/>
  <c r="J23" i="17"/>
  <c r="J36" i="17"/>
  <c r="J26" i="17"/>
  <c r="J29" i="17"/>
  <c r="J28" i="17"/>
  <c r="J30" i="17"/>
  <c r="J33" i="17"/>
  <c r="J34" i="17"/>
  <c r="J20" i="17"/>
  <c r="J19" i="17"/>
  <c r="J38" i="17"/>
  <c r="J21" i="17"/>
  <c r="J18" i="17"/>
  <c r="J17" i="17"/>
  <c r="J12" i="17"/>
  <c r="I40" i="17"/>
  <c r="E44" i="17"/>
  <c r="A44" i="17"/>
  <c r="G17" i="25" l="1"/>
  <c r="L17" i="25" s="1"/>
  <c r="J17" i="25"/>
  <c r="I17" i="25"/>
  <c r="K17" i="25"/>
  <c r="H21" i="25"/>
  <c r="J21" i="25"/>
  <c r="I21" i="25"/>
  <c r="G21" i="25"/>
  <c r="I43" i="17"/>
  <c r="J40" i="17"/>
  <c r="M17" i="25" l="1"/>
  <c r="L21" i="25"/>
  <c r="M21" i="25" s="1"/>
  <c r="K21" i="25"/>
  <c r="B9" i="10" l="1"/>
  <c r="J9" i="17"/>
  <c r="B8" i="10" l="1"/>
  <c r="J7" i="17"/>
  <c r="B7" i="10"/>
  <c r="J8" i="17"/>
  <c r="F13" i="25"/>
  <c r="B6" i="10"/>
  <c r="J13" i="25" l="1"/>
  <c r="G13" i="25"/>
  <c r="H13" i="25"/>
  <c r="I13" i="25"/>
  <c r="B12" i="10" l="1"/>
  <c r="K13" i="25"/>
  <c r="L13" i="25"/>
  <c r="M13" i="25" s="1"/>
  <c r="J13" i="17"/>
  <c r="D18" i="13"/>
  <c r="D60" i="10" l="1"/>
  <c r="D53" i="10"/>
  <c r="D52" i="10"/>
  <c r="B58" i="10"/>
  <c r="D20" i="13"/>
  <c r="B59" i="10"/>
  <c r="B10" i="10" l="1"/>
  <c r="B60" i="10"/>
  <c r="B47" i="10"/>
  <c r="D54" i="10"/>
  <c r="J10" i="17" l="1"/>
  <c r="J6" i="17"/>
  <c r="I14" i="17"/>
  <c r="I42" i="17" s="1"/>
  <c r="I44" i="17" s="1"/>
  <c r="D12" i="16"/>
  <c r="B17" i="10"/>
  <c r="B52" i="10" s="1"/>
  <c r="D36" i="13"/>
  <c r="B53" i="10"/>
  <c r="G15" i="25" l="1"/>
  <c r="I15" i="25"/>
  <c r="J15" i="25"/>
  <c r="H15" i="25"/>
  <c r="F23" i="25"/>
  <c r="F25" i="25" s="1"/>
  <c r="B54" i="10"/>
  <c r="B62" i="10" s="1"/>
  <c r="L15" i="25" l="1"/>
  <c r="M15" i="25" s="1"/>
  <c r="K15" i="25"/>
  <c r="H64" i="27" l="1"/>
  <c r="H65" i="27" l="1"/>
  <c r="H66" i="27" s="1"/>
  <c r="H67" i="27" s="1"/>
  <c r="H68" i="27" s="1"/>
  <c r="H69" i="27" s="1"/>
  <c r="H70" i="27" s="1"/>
  <c r="H71" i="27" s="1"/>
  <c r="H72" i="27" s="1"/>
  <c r="H73" i="27" s="1"/>
  <c r="H74" i="27" s="1"/>
  <c r="H75" i="27" s="1"/>
  <c r="H76" i="27" s="1"/>
  <c r="H77" i="27" s="1"/>
  <c r="H78" i="27" s="1"/>
  <c r="H79" i="27" s="1"/>
  <c r="H80" i="27" s="1"/>
  <c r="H81" i="27" s="1"/>
  <c r="H82" i="27" s="1"/>
  <c r="H83" i="27" s="1"/>
  <c r="H84" i="27" s="1"/>
  <c r="H85" i="27" s="1"/>
  <c r="H86" i="27" s="1"/>
  <c r="H87" i="27" s="1"/>
  <c r="H88" i="27" s="1"/>
  <c r="H89" i="27" s="1"/>
  <c r="H90" i="27" s="1"/>
  <c r="H91" i="27" s="1"/>
  <c r="H92" i="27" s="1"/>
  <c r="H93" i="27" s="1"/>
  <c r="H94" i="27" s="1"/>
  <c r="H95" i="27" s="1"/>
  <c r="H96" i="27" s="1"/>
  <c r="H97" i="27" s="1"/>
  <c r="H98" i="27" s="1"/>
  <c r="H99" i="27" s="1"/>
  <c r="H100" i="27" s="1"/>
  <c r="H101" i="27" s="1"/>
  <c r="H102" i="27" s="1"/>
  <c r="H103" i="27" s="1"/>
  <c r="H104" i="27" s="1"/>
  <c r="H105" i="27" s="1"/>
  <c r="H106" i="27" s="1"/>
  <c r="H107" i="27" s="1"/>
  <c r="H108" i="27" s="1"/>
  <c r="H109" i="27" s="1"/>
  <c r="H110" i="27" s="1"/>
  <c r="H111" i="27" s="1"/>
  <c r="H112" i="27" s="1"/>
  <c r="H113" i="27" s="1"/>
  <c r="H114" i="27" s="1"/>
  <c r="H115" i="27" s="1"/>
  <c r="H116" i="27" s="1"/>
  <c r="H117" i="27" s="1"/>
  <c r="H118" i="27" s="1"/>
  <c r="H119" i="27" s="1"/>
  <c r="H120" i="27" s="1"/>
  <c r="H121" i="27" s="1"/>
  <c r="H122" i="27" s="1"/>
  <c r="H171" i="27" l="1"/>
</calcChain>
</file>

<file path=xl/sharedStrings.xml><?xml version="1.0" encoding="utf-8"?>
<sst xmlns="http://schemas.openxmlformats.org/spreadsheetml/2006/main" count="1459" uniqueCount="713">
  <si>
    <t>Date</t>
  </si>
  <si>
    <t>Invoice No.</t>
  </si>
  <si>
    <t>Gross</t>
  </si>
  <si>
    <t>VAT</t>
  </si>
  <si>
    <t>Net</t>
  </si>
  <si>
    <t>Payment Type</t>
  </si>
  <si>
    <t>Precept</t>
  </si>
  <si>
    <t>Interest</t>
  </si>
  <si>
    <t>VAT Reclaim</t>
  </si>
  <si>
    <t>Invoice</t>
  </si>
  <si>
    <t>Year End Totals</t>
  </si>
  <si>
    <t>Annual Return</t>
  </si>
  <si>
    <t>Box 2</t>
  </si>
  <si>
    <t>PAYMENTS</t>
  </si>
  <si>
    <t>STAFF COSTS</t>
  </si>
  <si>
    <t>Supplier</t>
  </si>
  <si>
    <t>Description</t>
  </si>
  <si>
    <t>Clerk Salary</t>
  </si>
  <si>
    <t>Subscriptions</t>
  </si>
  <si>
    <t>Insurance</t>
  </si>
  <si>
    <t>Box 4</t>
  </si>
  <si>
    <t>Box 6</t>
  </si>
  <si>
    <t>Less: Unpresented</t>
  </si>
  <si>
    <t>Payments</t>
  </si>
  <si>
    <t>Cashbook</t>
  </si>
  <si>
    <t>Budget</t>
  </si>
  <si>
    <t>Income</t>
  </si>
  <si>
    <t>Total</t>
  </si>
  <si>
    <t xml:space="preserve">Expenditure </t>
  </si>
  <si>
    <t>Expenditure</t>
  </si>
  <si>
    <t>Balance c/f</t>
  </si>
  <si>
    <t>Represented by</t>
  </si>
  <si>
    <t>Current Account</t>
  </si>
  <si>
    <t>Unpresented Cheques</t>
  </si>
  <si>
    <t>Difference</t>
  </si>
  <si>
    <t>Year Ending</t>
  </si>
  <si>
    <t>£</t>
  </si>
  <si>
    <t>Balances Bfwd</t>
  </si>
  <si>
    <t>+ Annual Precept</t>
  </si>
  <si>
    <t>+ Total Other Receipts</t>
  </si>
  <si>
    <t>- Staff Costs</t>
  </si>
  <si>
    <t>- Loan Interest/Capital Repayments</t>
  </si>
  <si>
    <t>- All Other Payments</t>
  </si>
  <si>
    <t>= Balances Carried forward</t>
  </si>
  <si>
    <t>Total Cash &amp; Short Term Investments</t>
  </si>
  <si>
    <t>Total Fixed Assets plus other long term investments and assets</t>
  </si>
  <si>
    <t>Total Borrowings</t>
  </si>
  <si>
    <t>Litter Pick</t>
  </si>
  <si>
    <t>Barclays Current Account</t>
  </si>
  <si>
    <t>Prepared by: Charlotte Rust, Responsible Financial Officer</t>
  </si>
  <si>
    <t>Clerk Household Expense</t>
  </si>
  <si>
    <t>Clerk Travel Expense</t>
  </si>
  <si>
    <t>Dog Bins</t>
  </si>
  <si>
    <t>Misc</t>
  </si>
  <si>
    <t>TOTAL GRANTS</t>
  </si>
  <si>
    <t>2023-24</t>
  </si>
  <si>
    <t>GRANTS AND DONATIONS MADE</t>
  </si>
  <si>
    <t>Balance</t>
  </si>
  <si>
    <t>End of Year Reserve</t>
  </si>
  <si>
    <t>Plus undeposited receipts</t>
  </si>
  <si>
    <t>Uncleared cheque receipts</t>
  </si>
  <si>
    <t>Less unpresented cheques</t>
  </si>
  <si>
    <t>Uncleared cheque payments</t>
  </si>
  <si>
    <t>BANK BALANCE AT</t>
  </si>
  <si>
    <r>
      <t>BUDGET REMAINING</t>
    </r>
    <r>
      <rPr>
        <sz val="12"/>
        <color indexed="8"/>
        <rFont val="Calibri"/>
        <family val="2"/>
      </rPr>
      <t>→</t>
    </r>
  </si>
  <si>
    <r>
      <t>IN-YEAR SURPLUS/</t>
    </r>
    <r>
      <rPr>
        <b/>
        <sz val="12"/>
        <color indexed="10"/>
        <rFont val="Calibri"/>
        <family val="2"/>
      </rPr>
      <t>DEFICIT</t>
    </r>
  </si>
  <si>
    <r>
      <t>BUDGET SPENT SO FAR</t>
    </r>
    <r>
      <rPr>
        <sz val="12"/>
        <color indexed="8"/>
        <rFont val="Calibri"/>
        <family val="2"/>
      </rPr>
      <t>→</t>
    </r>
  </si>
  <si>
    <t>Total Expenditure</t>
  </si>
  <si>
    <t>TOTAL INCOME SO FAR→</t>
  </si>
  <si>
    <t>Total Income</t>
  </si>
  <si>
    <t>TOTAL EXPENDITURE</t>
  </si>
  <si>
    <t>Section 137</t>
  </si>
  <si>
    <t>External Audit</t>
  </si>
  <si>
    <t>Internal Audit</t>
  </si>
  <si>
    <t>Clerk Travelling Expense</t>
  </si>
  <si>
    <t xml:space="preserve">    £</t>
  </si>
  <si>
    <t>EXPLANATORY NOTES</t>
  </si>
  <si>
    <t>EXPENDITURE</t>
  </si>
  <si>
    <t>TOTAL INCOME</t>
  </si>
  <si>
    <t>INCOME</t>
  </si>
  <si>
    <t>RECEIPTS/ SPEND TO</t>
  </si>
  <si>
    <t>BUDGET YEAR END</t>
  </si>
  <si>
    <t>INCOME AND EXPENDITURE</t>
  </si>
  <si>
    <t>2023/24</t>
  </si>
  <si>
    <t>King's Coronation Grant</t>
  </si>
  <si>
    <t>P1</t>
  </si>
  <si>
    <t>P2</t>
  </si>
  <si>
    <t>P3</t>
  </si>
  <si>
    <t>P4</t>
  </si>
  <si>
    <t>P5</t>
  </si>
  <si>
    <t>P6</t>
  </si>
  <si>
    <t>P7</t>
  </si>
  <si>
    <t>Bank Reconciliation - General Account</t>
  </si>
  <si>
    <t>BALANCE TOTAL</t>
  </si>
  <si>
    <t>HMRC</t>
  </si>
  <si>
    <t>R2</t>
  </si>
  <si>
    <t>R3</t>
  </si>
  <si>
    <t>R4</t>
  </si>
  <si>
    <t>R5</t>
  </si>
  <si>
    <t>R6</t>
  </si>
  <si>
    <t>P8</t>
  </si>
  <si>
    <t>P9</t>
  </si>
  <si>
    <t>P10</t>
  </si>
  <si>
    <t>P11</t>
  </si>
  <si>
    <t>P12</t>
  </si>
  <si>
    <t>Reconciled to Bank Statement</t>
  </si>
  <si>
    <t>+/- 
Budget compared to Previous Year</t>
  </si>
  <si>
    <t>Take From Reserves</t>
  </si>
  <si>
    <t>TOTAL PAYMENTS</t>
  </si>
  <si>
    <t>Defibrillators</t>
  </si>
  <si>
    <t>TOTAL RECEIPTS</t>
  </si>
  <si>
    <t>Notes</t>
  </si>
  <si>
    <t>Bank Balance</t>
  </si>
  <si>
    <t>Remaining balance</t>
  </si>
  <si>
    <t xml:space="preserve">Amount </t>
  </si>
  <si>
    <t>Use of funds</t>
  </si>
  <si>
    <t>Payment ref</t>
  </si>
  <si>
    <t>Working Balance</t>
  </si>
  <si>
    <t>Cash Flow</t>
  </si>
  <si>
    <t>VAT Claim</t>
  </si>
  <si>
    <t>SUB-TOTAL</t>
  </si>
  <si>
    <t>Contingency</t>
  </si>
  <si>
    <t>PC Assets</t>
  </si>
  <si>
    <t>Unexpected costs</t>
  </si>
  <si>
    <t>TOTAL</t>
  </si>
  <si>
    <t>Ear Marked</t>
  </si>
  <si>
    <t>CASH FLOW MIN</t>
  </si>
  <si>
    <t>Contigency</t>
  </si>
  <si>
    <t xml:space="preserve">Balance per bank statements as at </t>
  </si>
  <si>
    <t xml:space="preserve">Net balances at </t>
  </si>
  <si>
    <t>Closing Balance</t>
  </si>
  <si>
    <t>Reserves</t>
  </si>
  <si>
    <t>Clean Up and Bloom</t>
  </si>
  <si>
    <t>Grants</t>
  </si>
  <si>
    <t>Surlingham Parish Council</t>
  </si>
  <si>
    <t>Surlingham Parish Council - Hall</t>
  </si>
  <si>
    <t>Hall Hire - Regular</t>
  </si>
  <si>
    <t>Hall Hire - School</t>
  </si>
  <si>
    <t>Hall Hire - One off</t>
  </si>
  <si>
    <t>SP School - Electricity</t>
  </si>
  <si>
    <t>Booking Clerk Salary</t>
  </si>
  <si>
    <t>SSE - Electricity</t>
  </si>
  <si>
    <t>Hall Cleaning Materials</t>
  </si>
  <si>
    <t>Hall Maintenance</t>
  </si>
  <si>
    <t>Water</t>
  </si>
  <si>
    <t>Staithe Maintenance</t>
  </si>
  <si>
    <t>Hall Hire Regular</t>
  </si>
  <si>
    <t>Hall Hire Private</t>
  </si>
  <si>
    <t>School Electricity</t>
  </si>
  <si>
    <t>Hall Hire School</t>
  </si>
  <si>
    <t>2024/25</t>
  </si>
  <si>
    <t>J Atkins</t>
  </si>
  <si>
    <t>Parish Hall</t>
  </si>
  <si>
    <t xml:space="preserve">Staithe </t>
  </si>
  <si>
    <t>Parish Hall *</t>
  </si>
  <si>
    <t>Running costs</t>
  </si>
  <si>
    <t>Payroll</t>
  </si>
  <si>
    <t>Defibrillator</t>
  </si>
  <si>
    <t>Playground</t>
  </si>
  <si>
    <t>Dog Bin</t>
  </si>
  <si>
    <t>Stationery/Post</t>
  </si>
  <si>
    <t>Waste Disposal</t>
  </si>
  <si>
    <t>Parish Newsletter</t>
  </si>
  <si>
    <t>Grounds Maintenance</t>
  </si>
  <si>
    <t>Training/Publications</t>
  </si>
  <si>
    <t>Pond Maintenance</t>
  </si>
  <si>
    <t>Parish Insurance</t>
  </si>
  <si>
    <t>Training/publications</t>
  </si>
  <si>
    <t>Microsoft/Norton</t>
  </si>
  <si>
    <t>Financial year ending 31 March 2025</t>
  </si>
  <si>
    <t>Opening balance at 1 April 2024 - General Account</t>
  </si>
  <si>
    <t>Opening balance at 1 April 2024 - Reserves</t>
  </si>
  <si>
    <t>Accounts for year ending 31st March 2025</t>
  </si>
  <si>
    <t>SURLINGHAM PARISH COUNCIL ANNUAL RETURN 2024/2025</t>
  </si>
  <si>
    <t>ACTUAL
2023/24</t>
  </si>
  <si>
    <t>BUDGET 
2024/25</t>
  </si>
  <si>
    <t>YTD 2024/25
As At Month X</t>
  </si>
  <si>
    <t>Y/E
Forecast 2024/25</t>
  </si>
  <si>
    <t>BUDGET
2025/26</t>
  </si>
  <si>
    <t>Litter Pick 2024</t>
  </si>
  <si>
    <t>SP School Electricity</t>
  </si>
  <si>
    <t>Clerk Household Expenses</t>
  </si>
  <si>
    <t>Clerk Travelling Expenses</t>
  </si>
  <si>
    <t>Subsriptions</t>
  </si>
  <si>
    <t>Bookings Clerk/Cleaner Salary</t>
  </si>
  <si>
    <t>Electricity</t>
  </si>
  <si>
    <t>Box 3</t>
  </si>
  <si>
    <t>Hal Hire Regular</t>
  </si>
  <si>
    <t>2024-25</t>
  </si>
  <si>
    <t>08.04.2024</t>
  </si>
  <si>
    <t>First4Magnets</t>
  </si>
  <si>
    <t>Magnets for noticeboard</t>
  </si>
  <si>
    <t>Surlingham Primary School</t>
  </si>
  <si>
    <t>Hall hire and electricity</t>
  </si>
  <si>
    <t>BACS</t>
  </si>
  <si>
    <t>15.04.2024</t>
  </si>
  <si>
    <t xml:space="preserve">VAT </t>
  </si>
  <si>
    <t>Ms R Hardingham</t>
  </si>
  <si>
    <t>April Salary</t>
  </si>
  <si>
    <t>16.04.2024</t>
  </si>
  <si>
    <t>NPTS</t>
  </si>
  <si>
    <t>Subscription</t>
  </si>
  <si>
    <t>Mrs C Rust</t>
  </si>
  <si>
    <t>April expenses</t>
  </si>
  <si>
    <t>CAN</t>
  </si>
  <si>
    <t>Membership</t>
  </si>
  <si>
    <t>WAVE</t>
  </si>
  <si>
    <t>Water 24/25</t>
  </si>
  <si>
    <t>SSE</t>
  </si>
  <si>
    <t>DC</t>
  </si>
  <si>
    <t>2414</t>
  </si>
  <si>
    <t>26.04.2024</t>
  </si>
  <si>
    <t>SNDC</t>
  </si>
  <si>
    <t>April Precept</t>
  </si>
  <si>
    <t>29.04.2024</t>
  </si>
  <si>
    <t>SLCC</t>
  </si>
  <si>
    <t>24/25 membership</t>
  </si>
  <si>
    <t>April Salary &amp; WFH</t>
  </si>
  <si>
    <t>Mr S Gildersleeve</t>
  </si>
  <si>
    <t xml:space="preserve">April SAM2 </t>
  </si>
  <si>
    <t>SO</t>
  </si>
  <si>
    <t>30.04.2024</t>
  </si>
  <si>
    <t>EDF</t>
  </si>
  <si>
    <t>MEM249430-1</t>
  </si>
  <si>
    <t>E89013530001</t>
  </si>
  <si>
    <t>1 Mar - 1 May</t>
  </si>
  <si>
    <t>DD</t>
  </si>
  <si>
    <t>Norfolk Baskets</t>
  </si>
  <si>
    <t>Hall Hire</t>
  </si>
  <si>
    <t>03.05.2024</t>
  </si>
  <si>
    <t>2426</t>
  </si>
  <si>
    <t>07.05.2024</t>
  </si>
  <si>
    <t>Coldham Hall</t>
  </si>
  <si>
    <t>RSMwH PC</t>
  </si>
  <si>
    <t>SLCC Membership</t>
  </si>
  <si>
    <t>2424</t>
  </si>
  <si>
    <t>2421</t>
  </si>
  <si>
    <t xml:space="preserve">Explanation of variances – pro forma </t>
  </si>
  <si>
    <t xml:space="preserve">Name of smaller authority: </t>
  </si>
  <si>
    <r>
      <t>County area (local councils and parish meetings only):</t>
    </r>
    <r>
      <rPr>
        <b/>
        <sz val="8"/>
        <color indexed="8"/>
        <rFont val="Arial"/>
        <family val="2"/>
      </rPr>
      <t xml:space="preserve"> </t>
    </r>
  </si>
  <si>
    <r>
      <t xml:space="preserve">Insert figures from Section 2 of the AGAR in all </t>
    </r>
    <r>
      <rPr>
        <b/>
        <u/>
        <sz val="10"/>
        <color indexed="62"/>
        <rFont val="Arial"/>
        <family val="2"/>
      </rPr>
      <t>Blue</t>
    </r>
    <r>
      <rPr>
        <b/>
        <sz val="10"/>
        <color indexed="10"/>
        <rFont val="Arial"/>
        <family val="2"/>
      </rPr>
      <t xml:space="preserve"> highlighted boxes </t>
    </r>
  </si>
  <si>
    <r>
      <t xml:space="preserve">Next, please provide full explanations, including numerical values, for the following that will be flagged in the green boxes where relevant:
</t>
    </r>
    <r>
      <rPr>
        <sz val="10"/>
        <color indexed="8"/>
        <rFont val="Arial"/>
        <family val="2"/>
      </rPr>
      <t xml:space="preserve">• variances of more than 15% between totals for individual boxes (except variances of less than £200); 
• </t>
    </r>
    <r>
      <rPr>
        <b/>
        <sz val="10"/>
        <color indexed="10"/>
        <rFont val="Arial"/>
        <family val="2"/>
      </rPr>
      <t>New from 2020/21 onwards:</t>
    </r>
    <r>
      <rPr>
        <sz val="10"/>
        <color indexed="8"/>
        <rFont val="Arial"/>
        <family val="2"/>
      </rPr>
      <t xml:space="preserve"> variances of £100,000 or more require explanation regardless of the % variation year on year;
</t>
    </r>
  </si>
  <si>
    <t>Variance</t>
  </si>
  <si>
    <t>Explanation Required?</t>
  </si>
  <si>
    <r>
      <t xml:space="preserve">Automatic responses trigger below based on figures input, </t>
    </r>
    <r>
      <rPr>
        <b/>
        <sz val="11"/>
        <color indexed="8"/>
        <rFont val="Arial"/>
        <family val="2"/>
      </rPr>
      <t>DO NOT OVERWRITE THESE BOXES</t>
    </r>
  </si>
  <si>
    <r>
      <t xml:space="preserve">Explanation from smaller authority </t>
    </r>
    <r>
      <rPr>
        <b/>
        <u/>
        <sz val="11"/>
        <color indexed="8"/>
        <rFont val="Arial"/>
        <family val="2"/>
      </rPr>
      <t>(must include narrative and supporting figures)</t>
    </r>
  </si>
  <si>
    <t>%</t>
  </si>
  <si>
    <t>1 Balances Brought Forward</t>
  </si>
  <si>
    <t>2 Precept or Rates and Levies</t>
  </si>
  <si>
    <t>3 Total Other Receipts</t>
  </si>
  <si>
    <t>4 Staff Costs</t>
  </si>
  <si>
    <t>5 Loan Interest/Capital Repayment</t>
  </si>
  <si>
    <t>6 All Other Payments</t>
  </si>
  <si>
    <t>7 Balances Carried Forward</t>
  </si>
  <si>
    <t>VARIANCE EXPLANATION NOT REQUIRED</t>
  </si>
  <si>
    <t>8 Total Cash and Short Term Investments</t>
  </si>
  <si>
    <t>9 Total Fixed Assets plus Other Long Term Investments and Assets</t>
  </si>
  <si>
    <t>10 Total Borrowings</t>
  </si>
  <si>
    <t>Rounding errors of up to £2 are tolerable</t>
  </si>
  <si>
    <t>Variances of £200 or less are tolerable</t>
  </si>
  <si>
    <t>BOX 10 VARIANCE EXPLANATION NOT REQUIRED IF CHANGE CAN BE EXPLAINED BY BOX 5 (CAPITAL PLUS INTEREST PAYMENT)</t>
  </si>
  <si>
    <t>%AGE OF INCOME &amp; EXPENDITURE 2024/25</t>
  </si>
  <si>
    <t>RSM SLCC</t>
  </si>
  <si>
    <t>09.05.2021</t>
  </si>
  <si>
    <t>Amazon</t>
  </si>
  <si>
    <t>Paper Towels</t>
  </si>
  <si>
    <t>GB181072621-2024-37748</t>
  </si>
  <si>
    <t>P13</t>
  </si>
  <si>
    <t>May</t>
  </si>
  <si>
    <t>May expenses</t>
  </si>
  <si>
    <t>P14</t>
  </si>
  <si>
    <t>P15</t>
  </si>
  <si>
    <t>QL205219-1</t>
  </si>
  <si>
    <t>CiCLA Registration</t>
  </si>
  <si>
    <t>Mar/April</t>
  </si>
  <si>
    <t>P16</t>
  </si>
  <si>
    <t>Play Area repairs &amp; Mar SAM</t>
  </si>
  <si>
    <t>P17</t>
  </si>
  <si>
    <t>May Expenses</t>
  </si>
  <si>
    <t>P18</t>
  </si>
  <si>
    <t>John Hurrell</t>
  </si>
  <si>
    <t>Mower Service</t>
  </si>
  <si>
    <t>P19</t>
  </si>
  <si>
    <t>E89013530002</t>
  </si>
  <si>
    <t>P20</t>
  </si>
  <si>
    <t>LCO01742</t>
  </si>
  <si>
    <t>Clear Insurance</t>
  </si>
  <si>
    <t>Insurance 2024/25</t>
  </si>
  <si>
    <t>CiLCA (spilt x3)</t>
  </si>
  <si>
    <t>P21</t>
  </si>
  <si>
    <t>15.05.2024</t>
  </si>
  <si>
    <t>April</t>
  </si>
  <si>
    <t>May Salary</t>
  </si>
  <si>
    <t>20.05.2024</t>
  </si>
  <si>
    <t>P22</t>
  </si>
  <si>
    <t>Post Office</t>
  </si>
  <si>
    <t>Stamps</t>
  </si>
  <si>
    <t>R7</t>
  </si>
  <si>
    <t>R8</t>
  </si>
  <si>
    <t>R9</t>
  </si>
  <si>
    <t>Claxton PC</t>
  </si>
  <si>
    <t>24.05.2021</t>
  </si>
  <si>
    <t>2427</t>
  </si>
  <si>
    <t>Lunch Club</t>
  </si>
  <si>
    <t>CHQ</t>
  </si>
  <si>
    <t>2323</t>
  </si>
  <si>
    <t>Bowls</t>
  </si>
  <si>
    <t>2420</t>
  </si>
  <si>
    <t>23.05.2024</t>
  </si>
  <si>
    <t>P23</t>
  </si>
  <si>
    <t>28.05.2024</t>
  </si>
  <si>
    <t>May Salary &amp; WFH</t>
  </si>
  <si>
    <t>P24</t>
  </si>
  <si>
    <t>May SAM2</t>
  </si>
  <si>
    <t>R10</t>
  </si>
  <si>
    <t>03.06.2024</t>
  </si>
  <si>
    <t>Barclays</t>
  </si>
  <si>
    <t xml:space="preserve">Interest </t>
  </si>
  <si>
    <t>R11</t>
  </si>
  <si>
    <t>06.06.2024</t>
  </si>
  <si>
    <t>R12</t>
  </si>
  <si>
    <t>10.06.2024</t>
  </si>
  <si>
    <t>CiLCA Qualification</t>
  </si>
  <si>
    <t>R13</t>
  </si>
  <si>
    <t>11.06.2024</t>
  </si>
  <si>
    <t>R14</t>
  </si>
  <si>
    <t>P25</t>
  </si>
  <si>
    <t>12.06.2024</t>
  </si>
  <si>
    <t>Clerk networking</t>
  </si>
  <si>
    <t>P26</t>
  </si>
  <si>
    <t>Hollinger</t>
  </si>
  <si>
    <t>Newsletter</t>
  </si>
  <si>
    <t>P27</t>
  </si>
  <si>
    <t>June</t>
  </si>
  <si>
    <t>June expenses</t>
  </si>
  <si>
    <t>P28</t>
  </si>
  <si>
    <t>May salary back pay</t>
  </si>
  <si>
    <t>P29</t>
  </si>
  <si>
    <t>TRANSFER</t>
  </si>
  <si>
    <t>Play Area repairs and Hall clean</t>
  </si>
  <si>
    <t>TRANS</t>
  </si>
  <si>
    <t>R15</t>
  </si>
  <si>
    <t>2425</t>
  </si>
  <si>
    <t>Gentle Exercise</t>
  </si>
  <si>
    <t>2431</t>
  </si>
  <si>
    <t>R16</t>
  </si>
  <si>
    <t>14.06.2024</t>
  </si>
  <si>
    <t>R17</t>
  </si>
  <si>
    <t>P30</t>
  </si>
  <si>
    <t>June Salary</t>
  </si>
  <si>
    <t>R18</t>
  </si>
  <si>
    <t>18.06.2024</t>
  </si>
  <si>
    <t>15.06.2024</t>
  </si>
  <si>
    <t>2428</t>
  </si>
  <si>
    <t>2330</t>
  </si>
  <si>
    <t>Hall Hire - PCC Elections</t>
  </si>
  <si>
    <t>2432</t>
  </si>
  <si>
    <t>P31</t>
  </si>
  <si>
    <t>P32</t>
  </si>
  <si>
    <t>P33</t>
  </si>
  <si>
    <t>P34</t>
  </si>
  <si>
    <t>P35</t>
  </si>
  <si>
    <t>P36</t>
  </si>
  <si>
    <t>P37</t>
  </si>
  <si>
    <t>P38</t>
  </si>
  <si>
    <t>P39</t>
  </si>
  <si>
    <t>P40</t>
  </si>
  <si>
    <t>P41</t>
  </si>
  <si>
    <t>P42</t>
  </si>
  <si>
    <t>P43</t>
  </si>
  <si>
    <t>P44</t>
  </si>
  <si>
    <t>P45</t>
  </si>
  <si>
    <t>P46</t>
  </si>
  <si>
    <t>P47</t>
  </si>
  <si>
    <t>P48</t>
  </si>
  <si>
    <t>P49</t>
  </si>
  <si>
    <t>P50</t>
  </si>
  <si>
    <t>P51</t>
  </si>
  <si>
    <t>P52</t>
  </si>
  <si>
    <t>P53</t>
  </si>
  <si>
    <t>P54</t>
  </si>
  <si>
    <t>P55</t>
  </si>
  <si>
    <t>P56</t>
  </si>
  <si>
    <t>R19</t>
  </si>
  <si>
    <t>R20</t>
  </si>
  <si>
    <t>R21</t>
  </si>
  <si>
    <t>R22</t>
  </si>
  <si>
    <t>R23</t>
  </si>
  <si>
    <t>R24</t>
  </si>
  <si>
    <t>R25</t>
  </si>
  <si>
    <t>R26</t>
  </si>
  <si>
    <t>R27</t>
  </si>
  <si>
    <t>R28</t>
  </si>
  <si>
    <t>R29</t>
  </si>
  <si>
    <t>R30</t>
  </si>
  <si>
    <t>R31</t>
  </si>
  <si>
    <t>R32</t>
  </si>
  <si>
    <t>SAM2</t>
  </si>
  <si>
    <t>2433</t>
  </si>
  <si>
    <t>2435</t>
  </si>
  <si>
    <t>07.06.2024</t>
  </si>
  <si>
    <t>Tesco</t>
  </si>
  <si>
    <t>Mobile for SAM2</t>
  </si>
  <si>
    <t>Currys</t>
  </si>
  <si>
    <t>Fridge</t>
  </si>
  <si>
    <t>Playscapes</t>
  </si>
  <si>
    <t>Play area repairs</t>
  </si>
  <si>
    <t>20.06.2024</t>
  </si>
  <si>
    <t>Playscape invoice</t>
  </si>
  <si>
    <t>21.06.2024</t>
  </si>
  <si>
    <t>25.06.2024</t>
  </si>
  <si>
    <t>Olivia How</t>
  </si>
  <si>
    <t>28.06.2024</t>
  </si>
  <si>
    <t>June Salary &amp; WFH</t>
  </si>
  <si>
    <t>June SAM2</t>
  </si>
  <si>
    <t>2430</t>
  </si>
  <si>
    <t>WI</t>
  </si>
  <si>
    <t>2417/2422</t>
  </si>
  <si>
    <t>2434</t>
  </si>
  <si>
    <t>5350-2787-00</t>
  </si>
  <si>
    <t>03.07.2024</t>
  </si>
  <si>
    <t>Qualification/Clerk networking</t>
  </si>
  <si>
    <t>2436/2438</t>
  </si>
  <si>
    <t>Hall Hire and electricity</t>
  </si>
  <si>
    <t>04.07.2024</t>
  </si>
  <si>
    <t>2437</t>
  </si>
  <si>
    <t>09.07.2024</t>
  </si>
  <si>
    <t>J Patterson</t>
  </si>
  <si>
    <t>2439</t>
  </si>
  <si>
    <t>Ear Marked Funds</t>
  </si>
  <si>
    <t>10.07.2024</t>
  </si>
  <si>
    <t>VAT Claim Apr-Jun</t>
  </si>
  <si>
    <t>IAS/SPC 00459</t>
  </si>
  <si>
    <t>Mr R Goreham</t>
  </si>
  <si>
    <t>Internal Audit 23/24</t>
  </si>
  <si>
    <t>O734350</t>
  </si>
  <si>
    <t>CPRE</t>
  </si>
  <si>
    <t>Annual Membership</t>
  </si>
  <si>
    <t xml:space="preserve">June </t>
  </si>
  <si>
    <t>June Invoice/P16 correction</t>
  </si>
  <si>
    <t>Norfolk ALC</t>
  </si>
  <si>
    <t>Payroll 24/25</t>
  </si>
  <si>
    <t>Playsafety Ltd</t>
  </si>
  <si>
    <t>Play Area Annual Inspection</t>
  </si>
  <si>
    <t>Flow Heating</t>
  </si>
  <si>
    <t>Taps - Servery and Ladies</t>
  </si>
  <si>
    <t>Flood overtime</t>
  </si>
  <si>
    <t>July</t>
  </si>
  <si>
    <t>July expenses</t>
  </si>
  <si>
    <t>12.07.2024</t>
  </si>
  <si>
    <t>Mobile Refund</t>
  </si>
  <si>
    <t>July Salary</t>
  </si>
  <si>
    <t>15.07.2024</t>
  </si>
  <si>
    <t>19.07.2024</t>
  </si>
  <si>
    <t>SDNC</t>
  </si>
  <si>
    <t>Election Hire</t>
  </si>
  <si>
    <t>R33</t>
  </si>
  <si>
    <t>R34</t>
  </si>
  <si>
    <t>R35</t>
  </si>
  <si>
    <t>R36</t>
  </si>
  <si>
    <t>R37</t>
  </si>
  <si>
    <t>R38</t>
  </si>
  <si>
    <t>26.07.2024</t>
  </si>
  <si>
    <t>29.07.2024</t>
  </si>
  <si>
    <t>July Salary &amp; WFH</t>
  </si>
  <si>
    <t>July SAM2</t>
  </si>
  <si>
    <t>2440</t>
  </si>
  <si>
    <t>2442</t>
  </si>
  <si>
    <t>2429</t>
  </si>
  <si>
    <t>08.07.2024</t>
  </si>
  <si>
    <t>15.08.2024</t>
  </si>
  <si>
    <t>August</t>
  </si>
  <si>
    <t>August Salary</t>
  </si>
  <si>
    <t>20.08.2024</t>
  </si>
  <si>
    <t>28.08.2024</t>
  </si>
  <si>
    <t>August Salary &amp; WFH</t>
  </si>
  <si>
    <t xml:space="preserve">August </t>
  </si>
  <si>
    <t>August SAM2</t>
  </si>
  <si>
    <t>02.09.2024</t>
  </si>
  <si>
    <t>KI-DFE36BF6-0002</t>
  </si>
  <si>
    <t>07.08.2024</t>
  </si>
  <si>
    <t>R1</t>
  </si>
  <si>
    <t>12.04.2024</t>
  </si>
  <si>
    <t>Add: Bank Account Receipts</t>
  </si>
  <si>
    <t xml:space="preserve">Less: Bank Account Payments </t>
  </si>
  <si>
    <t>Less: Reserves Payments</t>
  </si>
  <si>
    <t>Reserves Account</t>
  </si>
  <si>
    <t>Receipts</t>
  </si>
  <si>
    <t>Transfers</t>
  </si>
  <si>
    <t>Hall Hire - One Off</t>
  </si>
  <si>
    <t>Vat Number</t>
  </si>
  <si>
    <t>Playscape</t>
  </si>
  <si>
    <t>Transfer</t>
  </si>
  <si>
    <t>Add: Reserves Receipts</t>
  </si>
  <si>
    <t>TRANSFERS</t>
  </si>
  <si>
    <t>Boxes 2 &amp; 3</t>
  </si>
  <si>
    <t>Boxes 4 &amp; 6</t>
  </si>
  <si>
    <t>Bookings/Cleaner Salary</t>
  </si>
  <si>
    <t>Transfers Out</t>
  </si>
  <si>
    <t>Transfers In</t>
  </si>
  <si>
    <t>Transfer In</t>
  </si>
  <si>
    <t>Transfer Out</t>
  </si>
  <si>
    <t>AGAR Figure</t>
  </si>
  <si>
    <t>AGAR Box 3</t>
  </si>
  <si>
    <t>06.09.2024</t>
  </si>
  <si>
    <t>11.09.2024</t>
  </si>
  <si>
    <t>Westcotec</t>
  </si>
  <si>
    <t>Cables</t>
  </si>
  <si>
    <t>Dog bins</t>
  </si>
  <si>
    <t>September Expenses</t>
  </si>
  <si>
    <t>September Studying</t>
  </si>
  <si>
    <t>September Salary</t>
  </si>
  <si>
    <t>September Precept</t>
  </si>
  <si>
    <t>16.09.2024</t>
  </si>
  <si>
    <t>20.09.2024</t>
  </si>
  <si>
    <t>23.09.2024</t>
  </si>
  <si>
    <t>25.09.2024</t>
  </si>
  <si>
    <t>EDF Energy</t>
  </si>
  <si>
    <t>26.09.2024</t>
  </si>
  <si>
    <t>Minuteman Press</t>
  </si>
  <si>
    <t>Signs</t>
  </si>
  <si>
    <t>27.09.2024</t>
  </si>
  <si>
    <t>2446</t>
  </si>
  <si>
    <t>July Invoice</t>
  </si>
  <si>
    <t>16016</t>
  </si>
  <si>
    <t>0701086865</t>
  </si>
  <si>
    <t>September</t>
  </si>
  <si>
    <t>P57</t>
  </si>
  <si>
    <t>P58</t>
  </si>
  <si>
    <t>2447/2448</t>
  </si>
  <si>
    <t>Hall  Hire</t>
  </si>
  <si>
    <t>P59</t>
  </si>
  <si>
    <t>KI-DFE36BF6-0003</t>
  </si>
  <si>
    <t>P60</t>
  </si>
  <si>
    <t>P61</t>
  </si>
  <si>
    <t>Gift voucher - John Martin</t>
  </si>
  <si>
    <t>09.09.2024</t>
  </si>
  <si>
    <t>Play Area Repairs
Mower Service
Playscape play area repairs
Gate play area</t>
  </si>
  <si>
    <t>P16
P18
P35
P39</t>
  </si>
  <si>
    <t>P16
P39
P42</t>
  </si>
  <si>
    <t>P62</t>
  </si>
  <si>
    <t>30.09.2024</t>
  </si>
  <si>
    <t>Laminate Paper</t>
  </si>
  <si>
    <t>P63</t>
  </si>
  <si>
    <t>September Salary &amp; WFH</t>
  </si>
  <si>
    <t>P64</t>
  </si>
  <si>
    <t>September SAM2</t>
  </si>
  <si>
    <t>GB46NGP6HAEUI</t>
  </si>
  <si>
    <t>R39</t>
  </si>
  <si>
    <t>04.10.2024</t>
  </si>
  <si>
    <t>Big Litter Pick</t>
  </si>
  <si>
    <t>07.10.2024</t>
  </si>
  <si>
    <t>P65</t>
  </si>
  <si>
    <t>09.10.2024</t>
  </si>
  <si>
    <t>October Expenses</t>
  </si>
  <si>
    <t>P66</t>
  </si>
  <si>
    <t>Surlingham Poors and Church</t>
  </si>
  <si>
    <t>Allotment rent</t>
  </si>
  <si>
    <t>P67</t>
  </si>
  <si>
    <t>Clerks Manual</t>
  </si>
  <si>
    <t>P68</t>
  </si>
  <si>
    <t>Mrs P Scowen</t>
  </si>
  <si>
    <t>Clean Up and Bloom bulbs</t>
  </si>
  <si>
    <t>R40</t>
  </si>
  <si>
    <t>P69</t>
  </si>
  <si>
    <t>10.10.2024</t>
  </si>
  <si>
    <t>Ink Cartridges</t>
  </si>
  <si>
    <t>P70</t>
  </si>
  <si>
    <t>11.10.2024</t>
  </si>
  <si>
    <t>To J Atkins fund</t>
  </si>
  <si>
    <t>R41</t>
  </si>
  <si>
    <t>J Atkins Fund</t>
  </si>
  <si>
    <t>R42</t>
  </si>
  <si>
    <t>P39 and P42</t>
  </si>
  <si>
    <t>P71</t>
  </si>
  <si>
    <t>Bulbs</t>
  </si>
  <si>
    <t>ORD509807-1</t>
  </si>
  <si>
    <t>GB102467111</t>
  </si>
  <si>
    <t>P72</t>
  </si>
  <si>
    <t>15.10.2024</t>
  </si>
  <si>
    <t>October Salary</t>
  </si>
  <si>
    <t>R43</t>
  </si>
  <si>
    <t>FOSS</t>
  </si>
  <si>
    <t>School Fete</t>
  </si>
  <si>
    <t>P73</t>
  </si>
  <si>
    <t>17.10.2024</t>
  </si>
  <si>
    <t>P74</t>
  </si>
  <si>
    <t>John Lewis</t>
  </si>
  <si>
    <t>Laptop</t>
  </si>
  <si>
    <t>P75</t>
  </si>
  <si>
    <t>18.10.2024</t>
  </si>
  <si>
    <t>Stamps for JM card</t>
  </si>
  <si>
    <t>466518362/1</t>
  </si>
  <si>
    <t>R44</t>
  </si>
  <si>
    <t>NPTS, CAN, SLCC (£65), CPRE, Norfolk ALC (£333.92)</t>
  </si>
  <si>
    <t>P76</t>
  </si>
  <si>
    <t>25.10.2024</t>
  </si>
  <si>
    <t>P74 and website</t>
  </si>
  <si>
    <t>R45</t>
  </si>
  <si>
    <t>24.10.2024</t>
  </si>
  <si>
    <t>P74 AND WEBSITE</t>
  </si>
  <si>
    <t>SG Play Area Repairs/Deep Clean of Hall
Mower Service
Laptop
Website</t>
  </si>
  <si>
    <t>£13ph £130.91 per month</t>
  </si>
  <si>
    <t>Increase prices to ensure maintenance contingency</t>
  </si>
  <si>
    <t>P77</t>
  </si>
  <si>
    <t>P78</t>
  </si>
  <si>
    <t>Website</t>
  </si>
  <si>
    <t>P79</t>
  </si>
  <si>
    <t>28.10.2024</t>
  </si>
  <si>
    <t xml:space="preserve">October Studying </t>
  </si>
  <si>
    <t>P80</t>
  </si>
  <si>
    <t>October Salary &amp; WFH</t>
  </si>
  <si>
    <t>P81</t>
  </si>
  <si>
    <t>October SAM2</t>
  </si>
  <si>
    <t>R46</t>
  </si>
  <si>
    <t>R47</t>
  </si>
  <si>
    <t>IT</t>
  </si>
  <si>
    <t>NI contributions</t>
  </si>
  <si>
    <t>R48</t>
  </si>
  <si>
    <t>06.11.2024</t>
  </si>
  <si>
    <t>08.11.2024</t>
  </si>
  <si>
    <t>07.11.2024</t>
  </si>
  <si>
    <t>November expenses</t>
  </si>
  <si>
    <t>Back dated pay</t>
  </si>
  <si>
    <t>October invoice &amp; expenses</t>
  </si>
  <si>
    <t>Autumn Seminar</t>
  </si>
  <si>
    <t xml:space="preserve">Hollinger </t>
  </si>
  <si>
    <t>Orange Fox</t>
  </si>
  <si>
    <t>PAT testing</t>
  </si>
  <si>
    <t>PKF Littlejohn</t>
  </si>
  <si>
    <t>No Cycling sign</t>
  </si>
  <si>
    <t>John Hurrell &amp; Sons</t>
  </si>
  <si>
    <t>Mower repairs</t>
  </si>
  <si>
    <t>Westcotec Ltd</t>
  </si>
  <si>
    <t>SAM2 service</t>
  </si>
  <si>
    <t>Chair training</t>
  </si>
  <si>
    <t>November salary</t>
  </si>
  <si>
    <t>15.11.2024</t>
  </si>
  <si>
    <t>18.11.2024</t>
  </si>
  <si>
    <t>21.11.2024</t>
  </si>
  <si>
    <t>P82</t>
  </si>
  <si>
    <t>13.11.2024</t>
  </si>
  <si>
    <t>P83</t>
  </si>
  <si>
    <t>P84</t>
  </si>
  <si>
    <t>P85</t>
  </si>
  <si>
    <t>P86</t>
  </si>
  <si>
    <t>P87</t>
  </si>
  <si>
    <t>P88</t>
  </si>
  <si>
    <t>P89</t>
  </si>
  <si>
    <t>22577/22612</t>
  </si>
  <si>
    <t>P90</t>
  </si>
  <si>
    <t>SB20242954</t>
  </si>
  <si>
    <t>P91</t>
  </si>
  <si>
    <t>P92</t>
  </si>
  <si>
    <t>P93</t>
  </si>
  <si>
    <t>P94</t>
  </si>
  <si>
    <t>P95</t>
  </si>
  <si>
    <t>P96</t>
  </si>
  <si>
    <t>P97</t>
  </si>
  <si>
    <t>KI-DFE36BF6-0006</t>
  </si>
  <si>
    <t>R49</t>
  </si>
  <si>
    <t>Deep Clean of Hall
Drain
Taps - Servery and Ladies
Painting of hall</t>
  </si>
  <si>
    <t>P98</t>
  </si>
  <si>
    <t>25.11.2024</t>
  </si>
  <si>
    <t>Chair feet</t>
  </si>
  <si>
    <t>R50</t>
  </si>
  <si>
    <t>Surplus Reserves</t>
  </si>
  <si>
    <t>Surplus BA</t>
  </si>
  <si>
    <t>P99</t>
  </si>
  <si>
    <t>28.11.2024</t>
  </si>
  <si>
    <t>November studying</t>
  </si>
  <si>
    <t>P100</t>
  </si>
  <si>
    <t>November salary &amp; WFH</t>
  </si>
  <si>
    <t>P101</t>
  </si>
  <si>
    <t>R51</t>
  </si>
  <si>
    <t>29.11.2024</t>
  </si>
  <si>
    <t>Surlingham School</t>
  </si>
  <si>
    <t>Hall Hire &amp; Electricity</t>
  </si>
  <si>
    <t>R52</t>
  </si>
  <si>
    <t>02.12.2024</t>
  </si>
  <si>
    <t>R53</t>
  </si>
  <si>
    <t>Has Q4 from 2023/24 - £5825.29. Actual for 24/25 is £4,174.71</t>
  </si>
  <si>
    <t>R54</t>
  </si>
  <si>
    <t>09.12.2024</t>
  </si>
  <si>
    <t>P102</t>
  </si>
  <si>
    <t>11.12.2024</t>
  </si>
  <si>
    <t>PAYE</t>
  </si>
  <si>
    <t>P103</t>
  </si>
  <si>
    <t>December's expenses</t>
  </si>
  <si>
    <t>P104</t>
  </si>
  <si>
    <t>16.12.2024</t>
  </si>
  <si>
    <t>Decembers Salary</t>
  </si>
  <si>
    <t>Feet and Ink Cartridges</t>
  </si>
  <si>
    <t>Scaffold Direct</t>
  </si>
  <si>
    <t>Railings for storage</t>
  </si>
  <si>
    <t>TOTAL HALL</t>
  </si>
  <si>
    <t>TOTAL PARISH COUNCIL</t>
  </si>
  <si>
    <t xml:space="preserve">Surlingham Parish Council Budget 2026/2027
</t>
  </si>
  <si>
    <t>Staff Costs</t>
  </si>
  <si>
    <t>Audits</t>
  </si>
  <si>
    <t>Services</t>
  </si>
  <si>
    <t>Council responsibility</t>
  </si>
  <si>
    <t xml:space="preserve">Grants </t>
  </si>
  <si>
    <t xml:space="preserve">Hall </t>
  </si>
  <si>
    <t>Memberships</t>
  </si>
  <si>
    <t>Play Maintenance</t>
  </si>
  <si>
    <t>School Playing Field</t>
  </si>
  <si>
    <t>Burial Ground</t>
  </si>
  <si>
    <t>Staff costs</t>
  </si>
  <si>
    <t>CIL</t>
  </si>
  <si>
    <t>DIFFERENCE</t>
  </si>
  <si>
    <t>BUDGET 2026/27</t>
  </si>
  <si>
    <t>BUDGET 2025/26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</si>
</sst>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7" formatCode="&quot;£&quot;#,##0.00;\-&quot;£&quot;#,##0.00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&quot;£&quot;#,##0.00"/>
    <numFmt numFmtId="165" formatCode="_-* #,##0_-;\-* #,##0_-;_-* &quot;-&quot;??_-;_-@_-"/>
    <numFmt numFmtId="166" formatCode="dd/mm/yyyy;@"/>
    <numFmt numFmtId="167" formatCode="0_ ;[Red]\-0\ "/>
    <numFmt numFmtId="168" formatCode="#,##0.00_ ;[Red]\-#,##0.00\ "/>
  </numFmts>
  <fonts count="6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i/>
      <sz val="14"/>
      <name val="Calibri"/>
      <family val="2"/>
      <scheme val="minor"/>
    </font>
    <font>
      <b/>
      <i/>
      <sz val="14"/>
      <name val="Calibri"/>
      <family val="2"/>
      <scheme val="minor"/>
    </font>
    <font>
      <sz val="14"/>
      <color theme="0" tint="-0.499984740745262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u/>
      <sz val="12"/>
      <name val="Arial"/>
      <family val="2"/>
    </font>
    <font>
      <u/>
      <sz val="12"/>
      <name val="Arial"/>
      <family val="2"/>
    </font>
    <font>
      <sz val="12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C0000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8"/>
      <name val="Calibri"/>
      <family val="2"/>
    </font>
    <font>
      <b/>
      <sz val="12"/>
      <color rgb="FFFF0000"/>
      <name val="Calibri"/>
      <family val="2"/>
      <scheme val="minor"/>
    </font>
    <font>
      <b/>
      <sz val="12"/>
      <color indexed="10"/>
      <name val="Calibri"/>
      <family val="2"/>
    </font>
    <font>
      <sz val="12"/>
      <color rgb="FF006100"/>
      <name val="Calibri"/>
      <family val="2"/>
      <scheme val="minor"/>
    </font>
    <font>
      <u/>
      <sz val="10"/>
      <color indexed="12"/>
      <name val="Arial"/>
      <family val="2"/>
    </font>
    <font>
      <u/>
      <sz val="12"/>
      <color indexed="12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u/>
      <sz val="1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8"/>
      <color indexed="8"/>
      <name val="Arial"/>
      <family val="2"/>
    </font>
    <font>
      <b/>
      <sz val="10"/>
      <color indexed="10"/>
      <name val="Arial"/>
      <family val="2"/>
    </font>
    <font>
      <b/>
      <u/>
      <sz val="10"/>
      <color indexed="62"/>
      <name val="Arial"/>
      <family val="2"/>
    </font>
    <font>
      <b/>
      <sz val="10"/>
      <color theme="1"/>
      <name val="Arial"/>
      <family val="2"/>
    </font>
    <font>
      <sz val="10"/>
      <color theme="1"/>
      <name val="Symbol"/>
      <family val="1"/>
      <charset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b/>
      <u/>
      <sz val="11"/>
      <color indexed="8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name val="Calibri"/>
      <family val="2"/>
    </font>
    <font>
      <sz val="11"/>
      <color rgb="FF00B050"/>
      <name val="Calibri"/>
      <family val="2"/>
    </font>
    <font>
      <b/>
      <sz val="14"/>
      <color indexed="8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6EFCE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 diagonalUp="1">
      <left/>
      <right/>
      <top/>
      <bottom/>
      <diagonal style="thin">
        <color theme="0" tint="-0.14996795556505021"/>
      </diagonal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medium">
        <color indexed="64"/>
      </bottom>
      <diagonal/>
    </border>
    <border>
      <left/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double">
        <color indexed="64"/>
      </bottom>
      <diagonal/>
    </border>
    <border>
      <left style="thin">
        <color rgb="FFB8CCE4"/>
      </left>
      <right style="thin">
        <color rgb="FFB8CCE4"/>
      </right>
      <top/>
      <bottom style="double">
        <color indexed="64"/>
      </bottom>
      <diagonal/>
    </border>
    <border>
      <left style="thin">
        <color theme="0"/>
      </left>
      <right style="thin">
        <color theme="0"/>
      </right>
      <top style="thin">
        <color theme="5" tint="0.79998168889431442"/>
      </top>
      <bottom/>
      <diagonal/>
    </border>
    <border>
      <left style="thin">
        <color rgb="FFB8CCE4"/>
      </left>
      <right style="thin">
        <color rgb="FFB8CCE4"/>
      </right>
      <top style="thin">
        <color theme="4" tint="0.59996337778862885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5" tint="0.79998168889431442"/>
      </top>
      <bottom style="thin">
        <color theme="5" tint="0.79998168889431442"/>
      </bottom>
      <diagonal/>
    </border>
    <border>
      <left style="thin">
        <color rgb="FFB8CCE4"/>
      </left>
      <right style="thin">
        <color rgb="FFB8CCE4"/>
      </right>
      <top style="thin">
        <color theme="4" tint="0.59996337778862885"/>
      </top>
      <bottom style="thin">
        <color theme="4" tint="0.59996337778862885"/>
      </bottom>
      <diagonal/>
    </border>
    <border>
      <left style="thin">
        <color rgb="FFB8CCE4"/>
      </left>
      <right style="thin">
        <color rgb="FFB8CCE4"/>
      </right>
      <top style="thin">
        <color indexed="64"/>
      </top>
      <bottom style="thin">
        <color theme="4" tint="0.59996337778862885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5" tint="0.79998168889431442"/>
      </bottom>
      <diagonal/>
    </border>
    <border>
      <left style="thin">
        <color rgb="FFB8CCE4"/>
      </left>
      <right style="thin">
        <color rgb="FFB8CCE4"/>
      </right>
      <top style="thin">
        <color theme="0"/>
      </top>
      <bottom style="thin">
        <color theme="4" tint="0.59996337778862885"/>
      </bottom>
      <diagonal/>
    </border>
    <border>
      <left style="thin">
        <color rgb="FFB8CCE4"/>
      </left>
      <right style="thin">
        <color rgb="FFB8CCE4"/>
      </right>
      <top/>
      <bottom style="thin">
        <color theme="4" tint="0.59996337778862885"/>
      </bottom>
      <diagonal/>
    </border>
    <border>
      <left style="thin">
        <color theme="0"/>
      </left>
      <right style="thin">
        <color theme="0"/>
      </right>
      <top/>
      <bottom style="thin">
        <color theme="5" tint="0.79998168889431442"/>
      </bottom>
      <diagonal/>
    </border>
    <border>
      <left style="thin">
        <color rgb="FFB8CCE4"/>
      </left>
      <right style="thin">
        <color rgb="FFB8CCE4"/>
      </right>
      <top style="thin">
        <color theme="4" tint="0.59996337778862885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rgb="FFC6EFCE"/>
      </bottom>
      <diagonal/>
    </border>
    <border>
      <left style="thin">
        <color indexed="64"/>
      </left>
      <right/>
      <top style="thin">
        <color rgb="FFC6EFCE"/>
      </top>
      <bottom style="thin">
        <color rgb="FFC6EFCE"/>
      </bottom>
      <diagonal/>
    </border>
    <border>
      <left style="thin">
        <color indexed="64"/>
      </left>
      <right/>
      <top style="thin">
        <color rgb="FFC6EFCE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C6EFCE"/>
      </bottom>
      <diagonal/>
    </border>
    <border>
      <left style="thin">
        <color indexed="64"/>
      </left>
      <right/>
      <top/>
      <bottom style="thin">
        <color rgb="FFC6EFCE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theme="0"/>
      </top>
      <bottom/>
      <diagonal/>
    </border>
    <border>
      <left style="thin">
        <color theme="0"/>
      </left>
      <right style="thin">
        <color indexed="64"/>
      </right>
      <top/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/>
      <bottom style="thin">
        <color theme="5" tint="0.79998168889431442"/>
      </bottom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theme="0"/>
      </bottom>
      <diagonal/>
    </border>
    <border>
      <left style="thin">
        <color rgb="FFB8CCE4"/>
      </left>
      <right style="thin">
        <color rgb="FFB8CCE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5" tint="0.7999816888943144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5">
    <xf numFmtId="0" fontId="0" fillId="0" borderId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11" fillId="0" borderId="0"/>
    <xf numFmtId="0" fontId="1" fillId="0" borderId="0"/>
    <xf numFmtId="0" fontId="27" fillId="6" borderId="0" applyNumberFormat="0" applyBorder="0" applyAlignment="0" applyProtection="0"/>
    <xf numFmtId="0" fontId="36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473">
    <xf numFmtId="0" fontId="0" fillId="0" borderId="0" xfId="0"/>
    <xf numFmtId="0" fontId="5" fillId="0" borderId="0" xfId="0" applyFont="1"/>
    <xf numFmtId="164" fontId="5" fillId="0" borderId="0" xfId="0" applyNumberFormat="1" applyFont="1"/>
    <xf numFmtId="0" fontId="0" fillId="0" borderId="1" xfId="0" applyBorder="1"/>
    <xf numFmtId="164" fontId="0" fillId="0" borderId="0" xfId="0" applyNumberFormat="1"/>
    <xf numFmtId="0" fontId="4" fillId="0" borderId="0" xfId="0" applyFont="1"/>
    <xf numFmtId="4" fontId="4" fillId="0" borderId="0" xfId="0" applyNumberFormat="1" applyFont="1"/>
    <xf numFmtId="4" fontId="5" fillId="0" borderId="0" xfId="0" applyNumberFormat="1" applyFont="1"/>
    <xf numFmtId="164" fontId="5" fillId="0" borderId="0" xfId="0" applyNumberFormat="1" applyFont="1" applyAlignment="1">
      <alignment horizontal="center"/>
    </xf>
    <xf numFmtId="0" fontId="13" fillId="2" borderId="0" xfId="3" applyNumberFormat="1" applyFont="1" applyFill="1" applyBorder="1" applyAlignment="1">
      <alignment horizontal="center"/>
    </xf>
    <xf numFmtId="44" fontId="13" fillId="2" borderId="0" xfId="3" applyFont="1" applyFill="1" applyBorder="1" applyAlignment="1">
      <alignment horizontal="right"/>
    </xf>
    <xf numFmtId="44" fontId="14" fillId="2" borderId="0" xfId="3" applyFont="1" applyFill="1" applyBorder="1" applyAlignment="1">
      <alignment horizontal="left"/>
    </xf>
    <xf numFmtId="44" fontId="13" fillId="2" borderId="2" xfId="3" applyFont="1" applyFill="1" applyBorder="1" applyAlignment="1">
      <alignment horizontal="left"/>
    </xf>
    <xf numFmtId="14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14" fillId="2" borderId="0" xfId="4" applyFont="1" applyFill="1" applyAlignment="1">
      <alignment horizontal="left"/>
    </xf>
    <xf numFmtId="14" fontId="5" fillId="0" borderId="0" xfId="0" applyNumberFormat="1" applyFont="1"/>
    <xf numFmtId="49" fontId="5" fillId="0" borderId="0" xfId="0" applyNumberFormat="1" applyFont="1" applyAlignment="1">
      <alignment horizontal="center" textRotation="90"/>
    </xf>
    <xf numFmtId="4" fontId="5" fillId="0" borderId="0" xfId="0" applyNumberFormat="1" applyFont="1" applyAlignment="1">
      <alignment textRotation="90" wrapText="1"/>
    </xf>
    <xf numFmtId="4" fontId="5" fillId="0" borderId="0" xfId="0" applyNumberFormat="1" applyFont="1" applyAlignment="1">
      <alignment horizontal="center" textRotation="90" wrapText="1"/>
    </xf>
    <xf numFmtId="4" fontId="5" fillId="0" borderId="0" xfId="0" applyNumberFormat="1" applyFont="1" applyAlignment="1">
      <alignment textRotation="89" wrapText="1"/>
    </xf>
    <xf numFmtId="4" fontId="13" fillId="2" borderId="0" xfId="4" applyNumberFormat="1" applyFont="1" applyFill="1" applyAlignment="1">
      <alignment horizontal="left"/>
    </xf>
    <xf numFmtId="0" fontId="7" fillId="2" borderId="0" xfId="4" applyFont="1" applyFill="1"/>
    <xf numFmtId="0" fontId="13" fillId="2" borderId="0" xfId="4" applyFont="1" applyFill="1" applyAlignment="1">
      <alignment horizontal="left"/>
    </xf>
    <xf numFmtId="0" fontId="13" fillId="2" borderId="0" xfId="4" applyFont="1" applyFill="1" applyAlignment="1">
      <alignment horizontal="left" wrapText="1"/>
    </xf>
    <xf numFmtId="4" fontId="14" fillId="2" borderId="0" xfId="4" applyNumberFormat="1" applyFont="1" applyFill="1" applyAlignment="1">
      <alignment horizontal="left"/>
    </xf>
    <xf numFmtId="0" fontId="6" fillId="2" borderId="0" xfId="4" applyFill="1"/>
    <xf numFmtId="0" fontId="14" fillId="2" borderId="0" xfId="4" applyFont="1" applyFill="1" applyAlignment="1">
      <alignment horizontal="left" wrapText="1"/>
    </xf>
    <xf numFmtId="4" fontId="13" fillId="2" borderId="0" xfId="4" applyNumberFormat="1" applyFont="1" applyFill="1" applyAlignment="1">
      <alignment horizontal="left" wrapText="1"/>
    </xf>
    <xf numFmtId="0" fontId="10" fillId="0" borderId="0" xfId="6" applyFont="1" applyAlignment="1">
      <alignment vertical="top"/>
    </xf>
    <xf numFmtId="49" fontId="10" fillId="0" borderId="0" xfId="6" applyNumberFormat="1" applyFont="1" applyAlignment="1">
      <alignment wrapText="1"/>
    </xf>
    <xf numFmtId="166" fontId="9" fillId="0" borderId="0" xfId="6" applyNumberFormat="1" applyFont="1" applyAlignment="1">
      <alignment horizontal="center" wrapText="1"/>
    </xf>
    <xf numFmtId="0" fontId="10" fillId="0" borderId="4" xfId="6" applyFont="1" applyBorder="1" applyAlignment="1">
      <alignment vertical="top"/>
    </xf>
    <xf numFmtId="49" fontId="10" fillId="0" borderId="4" xfId="6" applyNumberFormat="1" applyFont="1" applyBorder="1" applyAlignment="1">
      <alignment wrapText="1"/>
    </xf>
    <xf numFmtId="14" fontId="9" fillId="0" borderId="4" xfId="6" applyNumberFormat="1" applyFont="1" applyBorder="1" applyAlignment="1">
      <alignment horizontal="center"/>
    </xf>
    <xf numFmtId="4" fontId="9" fillId="0" borderId="4" xfId="6" applyNumberFormat="1" applyFont="1" applyBorder="1" applyAlignment="1">
      <alignment horizontal="center"/>
    </xf>
    <xf numFmtId="0" fontId="10" fillId="0" borderId="5" xfId="6" applyFont="1" applyBorder="1" applyAlignment="1">
      <alignment vertical="top"/>
    </xf>
    <xf numFmtId="49" fontId="10" fillId="0" borderId="5" xfId="6" applyNumberFormat="1" applyFont="1" applyBorder="1" applyAlignment="1">
      <alignment wrapText="1"/>
    </xf>
    <xf numFmtId="0" fontId="11" fillId="0" borderId="0" xfId="5"/>
    <xf numFmtId="165" fontId="9" fillId="0" borderId="0" xfId="2" applyNumberFormat="1" applyFont="1"/>
    <xf numFmtId="4" fontId="9" fillId="0" borderId="0" xfId="2" applyNumberFormat="1" applyFont="1"/>
    <xf numFmtId="43" fontId="10" fillId="0" borderId="0" xfId="6" applyNumberFormat="1" applyFont="1"/>
    <xf numFmtId="44" fontId="14" fillId="0" borderId="0" xfId="3" applyFont="1" applyFill="1" applyBorder="1" applyAlignment="1">
      <alignment horizontal="left"/>
    </xf>
    <xf numFmtId="164" fontId="15" fillId="0" borderId="0" xfId="4" applyNumberFormat="1" applyFont="1" applyAlignment="1">
      <alignment horizontal="center"/>
    </xf>
    <xf numFmtId="44" fontId="17" fillId="0" borderId="0" xfId="3" applyFont="1" applyFill="1" applyBorder="1" applyAlignment="1">
      <alignment horizontal="left"/>
    </xf>
    <xf numFmtId="0" fontId="5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164" fontId="4" fillId="0" borderId="2" xfId="0" applyNumberFormat="1" applyFont="1" applyBorder="1"/>
    <xf numFmtId="164" fontId="12" fillId="0" borderId="0" xfId="0" applyNumberFormat="1" applyFont="1"/>
    <xf numFmtId="0" fontId="13" fillId="2" borderId="0" xfId="4" applyFont="1" applyFill="1" applyAlignment="1">
      <alignment horizontal="center"/>
    </xf>
    <xf numFmtId="2" fontId="5" fillId="0" borderId="0" xfId="0" applyNumberFormat="1" applyFont="1"/>
    <xf numFmtId="2" fontId="5" fillId="0" borderId="0" xfId="0" applyNumberFormat="1" applyFont="1" applyAlignment="1">
      <alignment textRotation="90" wrapText="1"/>
    </xf>
    <xf numFmtId="2" fontId="5" fillId="0" borderId="0" xfId="0" applyNumberFormat="1" applyFont="1" applyAlignment="1">
      <alignment horizontal="center" textRotation="90" wrapText="1"/>
    </xf>
    <xf numFmtId="164" fontId="5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  <xf numFmtId="164" fontId="5" fillId="0" borderId="6" xfId="0" applyNumberFormat="1" applyFont="1" applyBorder="1" applyAlignment="1">
      <alignment horizontal="right"/>
    </xf>
    <xf numFmtId="0" fontId="5" fillId="0" borderId="6" xfId="0" applyFont="1" applyBorder="1"/>
    <xf numFmtId="49" fontId="5" fillId="0" borderId="0" xfId="0" applyNumberFormat="1" applyFont="1" applyAlignment="1">
      <alignment horizontal="center" textRotation="60" wrapText="1"/>
    </xf>
    <xf numFmtId="2" fontId="5" fillId="4" borderId="0" xfId="0" applyNumberFormat="1" applyFont="1" applyFill="1" applyAlignment="1">
      <alignment horizontal="center" textRotation="60" wrapText="1"/>
    </xf>
    <xf numFmtId="2" fontId="5" fillId="5" borderId="0" xfId="0" applyNumberFormat="1" applyFont="1" applyFill="1" applyAlignment="1">
      <alignment horizontal="center" textRotation="60" wrapText="1"/>
    </xf>
    <xf numFmtId="4" fontId="5" fillId="5" borderId="0" xfId="0" applyNumberFormat="1" applyFont="1" applyFill="1" applyAlignment="1">
      <alignment horizontal="center" textRotation="60" wrapText="1"/>
    </xf>
    <xf numFmtId="0" fontId="22" fillId="0" borderId="0" xfId="0" applyFont="1"/>
    <xf numFmtId="0" fontId="21" fillId="0" borderId="0" xfId="0" applyFont="1"/>
    <xf numFmtId="44" fontId="23" fillId="0" borderId="0" xfId="3" applyFont="1"/>
    <xf numFmtId="0" fontId="23" fillId="0" borderId="0" xfId="0" applyFont="1"/>
    <xf numFmtId="15" fontId="23" fillId="0" borderId="0" xfId="3" applyNumberFormat="1" applyFont="1" applyFill="1"/>
    <xf numFmtId="0" fontId="24" fillId="0" borderId="0" xfId="0" applyFont="1"/>
    <xf numFmtId="44" fontId="23" fillId="0" borderId="0" xfId="3" applyFont="1" applyFill="1"/>
    <xf numFmtId="44" fontId="23" fillId="0" borderId="3" xfId="3" applyFont="1" applyBorder="1"/>
    <xf numFmtId="0" fontId="23" fillId="0" borderId="0" xfId="0" applyFont="1" applyAlignment="1">
      <alignment horizontal="center"/>
    </xf>
    <xf numFmtId="164" fontId="23" fillId="0" borderId="0" xfId="0" applyNumberFormat="1" applyFont="1"/>
    <xf numFmtId="44" fontId="23" fillId="0" borderId="2" xfId="3" applyFont="1" applyBorder="1"/>
    <xf numFmtId="44" fontId="21" fillId="0" borderId="0" xfId="3" applyFont="1"/>
    <xf numFmtId="44" fontId="22" fillId="0" borderId="0" xfId="3" applyFont="1"/>
    <xf numFmtId="0" fontId="13" fillId="0" borderId="0" xfId="3" applyNumberFormat="1" applyFont="1" applyFill="1" applyBorder="1" applyAlignment="1">
      <alignment horizontal="center"/>
    </xf>
    <xf numFmtId="0" fontId="15" fillId="0" borderId="0" xfId="3" applyNumberFormat="1" applyFont="1" applyFill="1" applyBorder="1" applyAlignment="1">
      <alignment horizontal="center"/>
    </xf>
    <xf numFmtId="44" fontId="18" fillId="0" borderId="0" xfId="3" applyFont="1" applyFill="1" applyBorder="1" applyAlignment="1">
      <alignment horizontal="left"/>
    </xf>
    <xf numFmtId="164" fontId="14" fillId="0" borderId="0" xfId="4" applyNumberFormat="1" applyFont="1" applyAlignment="1">
      <alignment horizontal="center"/>
    </xf>
    <xf numFmtId="7" fontId="16" fillId="0" borderId="2" xfId="3" applyNumberFormat="1" applyFont="1" applyFill="1" applyBorder="1" applyAlignment="1">
      <alignment horizontal="center"/>
    </xf>
    <xf numFmtId="164" fontId="16" fillId="0" borderId="0" xfId="4" applyNumberFormat="1" applyFont="1" applyAlignment="1">
      <alignment horizontal="center"/>
    </xf>
    <xf numFmtId="44" fontId="18" fillId="0" borderId="2" xfId="3" applyFont="1" applyFill="1" applyBorder="1" applyAlignment="1">
      <alignment horizontal="right"/>
    </xf>
    <xf numFmtId="0" fontId="20" fillId="0" borderId="0" xfId="0" applyFont="1"/>
    <xf numFmtId="4" fontId="22" fillId="0" borderId="5" xfId="0" applyNumberFormat="1" applyFont="1" applyBorder="1" applyAlignment="1">
      <alignment horizontal="right"/>
    </xf>
    <xf numFmtId="0" fontId="22" fillId="0" borderId="13" xfId="0" applyFont="1" applyBorder="1"/>
    <xf numFmtId="0" fontId="30" fillId="0" borderId="14" xfId="0" applyFont="1" applyBorder="1"/>
    <xf numFmtId="4" fontId="22" fillId="0" borderId="13" xfId="0" applyNumberFormat="1" applyFont="1" applyBorder="1" applyAlignment="1">
      <alignment horizontal="right"/>
    </xf>
    <xf numFmtId="4" fontId="22" fillId="2" borderId="15" xfId="0" applyNumberFormat="1" applyFont="1" applyFill="1" applyBorder="1" applyAlignment="1">
      <alignment horizontal="right"/>
    </xf>
    <xf numFmtId="4" fontId="31" fillId="7" borderId="16" xfId="7" applyNumberFormat="1" applyFont="1" applyFill="1" applyBorder="1" applyAlignment="1">
      <alignment horizontal="right"/>
    </xf>
    <xf numFmtId="0" fontId="28" fillId="0" borderId="8" xfId="0" applyFont="1" applyBorder="1"/>
    <xf numFmtId="0" fontId="22" fillId="0" borderId="9" xfId="0" applyFont="1" applyBorder="1" applyAlignment="1">
      <alignment horizontal="right"/>
    </xf>
    <xf numFmtId="4" fontId="31" fillId="0" borderId="10" xfId="0" applyNumberFormat="1" applyFont="1" applyBorder="1" applyAlignment="1">
      <alignment horizontal="right"/>
    </xf>
    <xf numFmtId="0" fontId="28" fillId="0" borderId="9" xfId="0" applyFont="1" applyBorder="1"/>
    <xf numFmtId="4" fontId="29" fillId="7" borderId="18" xfId="7" applyNumberFormat="1" applyFont="1" applyFill="1" applyBorder="1" applyAlignment="1">
      <alignment horizontal="right"/>
    </xf>
    <xf numFmtId="0" fontId="22" fillId="0" borderId="8" xfId="0" applyFont="1" applyBorder="1"/>
    <xf numFmtId="4" fontId="22" fillId="0" borderId="10" xfId="0" applyNumberFormat="1" applyFont="1" applyBorder="1" applyAlignment="1">
      <alignment horizontal="right"/>
    </xf>
    <xf numFmtId="4" fontId="29" fillId="8" borderId="19" xfId="0" applyNumberFormat="1" applyFont="1" applyFill="1" applyBorder="1" applyAlignment="1">
      <alignment horizontal="right"/>
    </xf>
    <xf numFmtId="0" fontId="22" fillId="0" borderId="9" xfId="0" applyFont="1" applyBorder="1"/>
    <xf numFmtId="4" fontId="26" fillId="7" borderId="20" xfId="7" applyNumberFormat="1" applyFont="1" applyFill="1" applyBorder="1" applyAlignment="1">
      <alignment horizontal="right"/>
    </xf>
    <xf numFmtId="4" fontId="22" fillId="8" borderId="21" xfId="0" applyNumberFormat="1" applyFont="1" applyFill="1" applyBorder="1" applyAlignment="1">
      <alignment horizontal="right"/>
    </xf>
    <xf numFmtId="4" fontId="35" fillId="7" borderId="20" xfId="7" applyNumberFormat="1" applyFont="1" applyFill="1" applyBorder="1" applyAlignment="1">
      <alignment horizontal="right"/>
    </xf>
    <xf numFmtId="0" fontId="30" fillId="0" borderId="9" xfId="0" applyFont="1" applyBorder="1"/>
    <xf numFmtId="0" fontId="37" fillId="0" borderId="9" xfId="8" applyFont="1" applyBorder="1"/>
    <xf numFmtId="0" fontId="39" fillId="0" borderId="9" xfId="0" applyFont="1" applyBorder="1"/>
    <xf numFmtId="4" fontId="28" fillId="0" borderId="10" xfId="0" applyNumberFormat="1" applyFont="1" applyBorder="1" applyAlignment="1">
      <alignment horizontal="right"/>
    </xf>
    <xf numFmtId="4" fontId="38" fillId="8" borderId="22" xfId="0" applyNumberFormat="1" applyFont="1" applyFill="1" applyBorder="1" applyAlignment="1">
      <alignment horizontal="right"/>
    </xf>
    <xf numFmtId="4" fontId="29" fillId="8" borderId="21" xfId="0" applyNumberFormat="1" applyFont="1" applyFill="1" applyBorder="1" applyAlignment="1">
      <alignment horizontal="right"/>
    </xf>
    <xf numFmtId="4" fontId="29" fillId="9" borderId="21" xfId="0" applyNumberFormat="1" applyFont="1" applyFill="1" applyBorder="1" applyAlignment="1">
      <alignment horizontal="right"/>
    </xf>
    <xf numFmtId="0" fontId="22" fillId="0" borderId="10" xfId="0" applyFont="1" applyBorder="1"/>
    <xf numFmtId="4" fontId="29" fillId="8" borderId="21" xfId="0" applyNumberFormat="1" applyFont="1" applyFill="1" applyBorder="1"/>
    <xf numFmtId="4" fontId="22" fillId="0" borderId="9" xfId="0" applyNumberFormat="1" applyFont="1" applyBorder="1"/>
    <xf numFmtId="0" fontId="22" fillId="0" borderId="8" xfId="0" applyFont="1" applyBorder="1" applyAlignment="1">
      <alignment vertical="center" wrapText="1"/>
    </xf>
    <xf numFmtId="4" fontId="22" fillId="0" borderId="10" xfId="0" applyNumberFormat="1" applyFont="1" applyBorder="1" applyAlignment="1">
      <alignment horizontal="right" vertical="center" wrapText="1"/>
    </xf>
    <xf numFmtId="4" fontId="29" fillId="8" borderId="21" xfId="0" applyNumberFormat="1" applyFont="1" applyFill="1" applyBorder="1" applyAlignment="1">
      <alignment horizontal="right" vertical="center" wrapText="1"/>
    </xf>
    <xf numFmtId="0" fontId="22" fillId="0" borderId="9" xfId="0" applyFont="1" applyBorder="1" applyAlignment="1">
      <alignment vertical="center" wrapText="1"/>
    </xf>
    <xf numFmtId="0" fontId="22" fillId="0" borderId="23" xfId="0" applyFont="1" applyBorder="1"/>
    <xf numFmtId="0" fontId="30" fillId="0" borderId="24" xfId="0" applyFont="1" applyBorder="1"/>
    <xf numFmtId="4" fontId="22" fillId="0" borderId="25" xfId="0" applyNumberFormat="1" applyFont="1" applyBorder="1" applyAlignment="1">
      <alignment horizontal="right"/>
    </xf>
    <xf numFmtId="0" fontId="22" fillId="0" borderId="24" xfId="0" applyFont="1" applyBorder="1"/>
    <xf numFmtId="4" fontId="29" fillId="8" borderId="22" xfId="0" applyNumberFormat="1" applyFont="1" applyFill="1" applyBorder="1" applyAlignment="1">
      <alignment horizontal="right"/>
    </xf>
    <xf numFmtId="4" fontId="26" fillId="7" borderId="18" xfId="7" applyNumberFormat="1" applyFont="1" applyFill="1" applyBorder="1" applyAlignment="1">
      <alignment horizontal="center" wrapText="1"/>
    </xf>
    <xf numFmtId="0" fontId="22" fillId="0" borderId="26" xfId="0" applyFont="1" applyBorder="1"/>
    <xf numFmtId="166" fontId="30" fillId="0" borderId="27" xfId="0" applyNumberFormat="1" applyFont="1" applyBorder="1"/>
    <xf numFmtId="4" fontId="22" fillId="0" borderId="28" xfId="0" applyNumberFormat="1" applyFont="1" applyBorder="1" applyAlignment="1">
      <alignment horizontal="right"/>
    </xf>
    <xf numFmtId="0" fontId="22" fillId="8" borderId="19" xfId="0" applyFont="1" applyFill="1" applyBorder="1" applyAlignment="1">
      <alignment horizontal="center" wrapText="1"/>
    </xf>
    <xf numFmtId="0" fontId="22" fillId="0" borderId="27" xfId="0" applyFont="1" applyBorder="1"/>
    <xf numFmtId="4" fontId="28" fillId="8" borderId="22" xfId="0" applyNumberFormat="1" applyFont="1" applyFill="1" applyBorder="1" applyAlignment="1">
      <alignment horizontal="right"/>
    </xf>
    <xf numFmtId="4" fontId="22" fillId="8" borderId="22" xfId="0" applyNumberFormat="1" applyFont="1" applyFill="1" applyBorder="1" applyAlignment="1">
      <alignment horizontal="right"/>
    </xf>
    <xf numFmtId="0" fontId="22" fillId="0" borderId="26" xfId="0" applyFont="1" applyBorder="1" applyAlignment="1">
      <alignment wrapText="1"/>
    </xf>
    <xf numFmtId="0" fontId="22" fillId="0" borderId="28" xfId="0" applyFont="1" applyBorder="1" applyAlignment="1">
      <alignment horizontal="right" wrapText="1"/>
    </xf>
    <xf numFmtId="0" fontId="22" fillId="0" borderId="27" xfId="0" applyFont="1" applyBorder="1" applyAlignment="1">
      <alignment wrapText="1"/>
    </xf>
    <xf numFmtId="166" fontId="22" fillId="0" borderId="8" xfId="0" applyNumberFormat="1" applyFont="1" applyBorder="1"/>
    <xf numFmtId="0" fontId="0" fillId="0" borderId="9" xfId="0" applyBorder="1"/>
    <xf numFmtId="166" fontId="22" fillId="0" borderId="10" xfId="0" applyNumberFormat="1" applyFont="1" applyBorder="1" applyAlignment="1">
      <alignment horizontal="right"/>
    </xf>
    <xf numFmtId="166" fontId="22" fillId="8" borderId="21" xfId="0" applyNumberFormat="1" applyFont="1" applyFill="1" applyBorder="1" applyAlignment="1">
      <alignment horizontal="center" vertical="center"/>
    </xf>
    <xf numFmtId="166" fontId="22" fillId="0" borderId="9" xfId="0" applyNumberFormat="1" applyFont="1" applyBorder="1"/>
    <xf numFmtId="4" fontId="26" fillId="7" borderId="29" xfId="7" applyNumberFormat="1" applyFont="1" applyFill="1" applyBorder="1" applyAlignment="1">
      <alignment horizontal="center" vertical="center" wrapText="1"/>
    </xf>
    <xf numFmtId="0" fontId="22" fillId="0" borderId="8" xfId="0" applyFont="1" applyBorder="1" applyAlignment="1">
      <alignment wrapText="1"/>
    </xf>
    <xf numFmtId="0" fontId="30" fillId="0" borderId="9" xfId="0" applyFont="1" applyBorder="1" applyAlignment="1">
      <alignment wrapText="1"/>
    </xf>
    <xf numFmtId="0" fontId="22" fillId="0" borderId="10" xfId="0" applyFont="1" applyBorder="1" applyAlignment="1">
      <alignment horizontal="right" wrapText="1"/>
    </xf>
    <xf numFmtId="0" fontId="22" fillId="8" borderId="30" xfId="0" applyFont="1" applyFill="1" applyBorder="1" applyAlignment="1">
      <alignment horizontal="center" vertical="center" wrapText="1"/>
    </xf>
    <xf numFmtId="0" fontId="22" fillId="0" borderId="9" xfId="0" applyFont="1" applyBorder="1" applyAlignment="1">
      <alignment wrapText="1"/>
    </xf>
    <xf numFmtId="0" fontId="26" fillId="0" borderId="9" xfId="0" applyFont="1" applyBorder="1" applyAlignment="1">
      <alignment wrapText="1"/>
    </xf>
    <xf numFmtId="0" fontId="0" fillId="0" borderId="12" xfId="0" applyBorder="1"/>
    <xf numFmtId="0" fontId="0" fillId="0" borderId="8" xfId="0" applyBorder="1"/>
    <xf numFmtId="0" fontId="0" fillId="0" borderId="10" xfId="0" applyBorder="1"/>
    <xf numFmtId="4" fontId="22" fillId="8" borderId="31" xfId="0" applyNumberFormat="1" applyFont="1" applyFill="1" applyBorder="1" applyAlignment="1">
      <alignment horizontal="right"/>
    </xf>
    <xf numFmtId="4" fontId="38" fillId="7" borderId="32" xfId="7" applyNumberFormat="1" applyFont="1" applyFill="1" applyBorder="1" applyAlignment="1">
      <alignment horizontal="right"/>
    </xf>
    <xf numFmtId="166" fontId="26" fillId="7" borderId="20" xfId="7" applyNumberFormat="1" applyFont="1" applyFill="1" applyBorder="1" applyAlignment="1">
      <alignment horizontal="center" vertical="center"/>
    </xf>
    <xf numFmtId="166" fontId="22" fillId="0" borderId="12" xfId="0" applyNumberFormat="1" applyFont="1" applyBorder="1" applyAlignment="1">
      <alignment horizontal="right"/>
    </xf>
    <xf numFmtId="4" fontId="22" fillId="0" borderId="8" xfId="0" applyNumberFormat="1" applyFont="1" applyBorder="1" applyAlignment="1">
      <alignment horizontal="right"/>
    </xf>
    <xf numFmtId="0" fontId="28" fillId="0" borderId="9" xfId="0" applyFont="1" applyBorder="1" applyAlignment="1">
      <alignment wrapText="1"/>
    </xf>
    <xf numFmtId="4" fontId="22" fillId="0" borderId="12" xfId="0" applyNumberFormat="1" applyFont="1" applyBorder="1"/>
    <xf numFmtId="4" fontId="29" fillId="0" borderId="11" xfId="0" applyNumberFormat="1" applyFont="1" applyBorder="1" applyAlignment="1">
      <alignment horizontal="right"/>
    </xf>
    <xf numFmtId="4" fontId="26" fillId="0" borderId="11" xfId="0" applyNumberFormat="1" applyFont="1" applyBorder="1" applyAlignment="1">
      <alignment horizontal="right"/>
    </xf>
    <xf numFmtId="0" fontId="26" fillId="0" borderId="8" xfId="0" applyFont="1" applyBorder="1"/>
    <xf numFmtId="4" fontId="26" fillId="0" borderId="10" xfId="0" applyNumberFormat="1" applyFont="1" applyBorder="1" applyAlignment="1">
      <alignment horizontal="right"/>
    </xf>
    <xf numFmtId="4" fontId="26" fillId="0" borderId="8" xfId="0" applyNumberFormat="1" applyFont="1" applyBorder="1" applyAlignment="1">
      <alignment horizontal="right"/>
    </xf>
    <xf numFmtId="0" fontId="26" fillId="0" borderId="9" xfId="0" applyFont="1" applyBorder="1"/>
    <xf numFmtId="4" fontId="28" fillId="0" borderId="2" xfId="0" applyNumberFormat="1" applyFont="1" applyBorder="1" applyAlignment="1">
      <alignment horizontal="right"/>
    </xf>
    <xf numFmtId="4" fontId="22" fillId="0" borderId="12" xfId="0" applyNumberFormat="1" applyFont="1" applyBorder="1" applyAlignment="1">
      <alignment horizontal="right"/>
    </xf>
    <xf numFmtId="0" fontId="22" fillId="0" borderId="12" xfId="0" applyFont="1" applyBorder="1" applyAlignment="1">
      <alignment horizontal="right"/>
    </xf>
    <xf numFmtId="4" fontId="22" fillId="0" borderId="11" xfId="0" applyNumberFormat="1" applyFont="1" applyBorder="1" applyAlignment="1">
      <alignment horizontal="right"/>
    </xf>
    <xf numFmtId="164" fontId="13" fillId="0" borderId="2" xfId="3" applyNumberFormat="1" applyFont="1" applyFill="1" applyBorder="1" applyAlignment="1">
      <alignment horizontal="left"/>
    </xf>
    <xf numFmtId="44" fontId="23" fillId="0" borderId="0" xfId="3" applyFont="1" applyFill="1" applyBorder="1"/>
    <xf numFmtId="4" fontId="22" fillId="8" borderId="33" xfId="0" applyNumberFormat="1" applyFont="1" applyFill="1" applyBorder="1" applyAlignment="1">
      <alignment horizontal="right"/>
    </xf>
    <xf numFmtId="44" fontId="21" fillId="0" borderId="4" xfId="3" applyFont="1" applyFill="1" applyBorder="1"/>
    <xf numFmtId="164" fontId="17" fillId="0" borderId="2" xfId="3" applyNumberFormat="1" applyFont="1" applyFill="1" applyBorder="1" applyAlignment="1">
      <alignment horizontal="right"/>
    </xf>
    <xf numFmtId="164" fontId="18" fillId="0" borderId="2" xfId="3" applyNumberFormat="1" applyFont="1" applyFill="1" applyBorder="1" applyAlignment="1">
      <alignment horizontal="right"/>
    </xf>
    <xf numFmtId="14" fontId="5" fillId="0" borderId="0" xfId="0" applyNumberFormat="1" applyFont="1" applyAlignment="1">
      <alignment horizontal="center"/>
    </xf>
    <xf numFmtId="4" fontId="22" fillId="0" borderId="11" xfId="0" applyNumberFormat="1" applyFont="1" applyBorder="1"/>
    <xf numFmtId="4" fontId="31" fillId="8" borderId="17" xfId="0" applyNumberFormat="1" applyFont="1" applyFill="1" applyBorder="1" applyAlignment="1">
      <alignment horizontal="right"/>
    </xf>
    <xf numFmtId="0" fontId="23" fillId="11" borderId="0" xfId="0" applyFont="1" applyFill="1"/>
    <xf numFmtId="0" fontId="21" fillId="11" borderId="0" xfId="0" applyFont="1" applyFill="1"/>
    <xf numFmtId="4" fontId="28" fillId="0" borderId="34" xfId="0" applyNumberFormat="1" applyFont="1" applyBorder="1" applyAlignment="1">
      <alignment horizontal="right"/>
    </xf>
    <xf numFmtId="0" fontId="28" fillId="0" borderId="26" xfId="0" applyFont="1" applyBorder="1"/>
    <xf numFmtId="0" fontId="12" fillId="0" borderId="26" xfId="0" applyFont="1" applyBorder="1"/>
    <xf numFmtId="4" fontId="28" fillId="0" borderId="28" xfId="0" applyNumberFormat="1" applyFont="1" applyBorder="1" applyAlignment="1">
      <alignment horizontal="right"/>
    </xf>
    <xf numFmtId="4" fontId="28" fillId="0" borderId="26" xfId="0" applyNumberFormat="1" applyFont="1" applyBorder="1" applyAlignment="1">
      <alignment horizontal="right"/>
    </xf>
    <xf numFmtId="0" fontId="12" fillId="0" borderId="27" xfId="0" applyFont="1" applyBorder="1"/>
    <xf numFmtId="0" fontId="0" fillId="0" borderId="36" xfId="0" applyBorder="1"/>
    <xf numFmtId="4" fontId="26" fillId="10" borderId="37" xfId="7" applyNumberFormat="1" applyFont="1" applyFill="1" applyBorder="1" applyAlignment="1">
      <alignment horizontal="center" vertical="center" wrapText="1"/>
    </xf>
    <xf numFmtId="166" fontId="26" fillId="6" borderId="38" xfId="7" applyNumberFormat="1" applyFont="1" applyBorder="1" applyAlignment="1">
      <alignment horizontal="center" vertical="center"/>
    </xf>
    <xf numFmtId="4" fontId="26" fillId="6" borderId="39" xfId="7" applyNumberFormat="1" applyFont="1" applyBorder="1" applyAlignment="1">
      <alignment horizontal="center" wrapText="1"/>
    </xf>
    <xf numFmtId="4" fontId="26" fillId="6" borderId="40" xfId="7" applyNumberFormat="1" applyFont="1" applyBorder="1" applyAlignment="1">
      <alignment horizontal="right"/>
    </xf>
    <xf numFmtId="4" fontId="26" fillId="6" borderId="41" xfId="7" applyNumberFormat="1" applyFont="1" applyBorder="1" applyAlignment="1">
      <alignment horizontal="right"/>
    </xf>
    <xf numFmtId="4" fontId="26" fillId="6" borderId="38" xfId="7" applyNumberFormat="1" applyFont="1" applyBorder="1" applyAlignment="1">
      <alignment horizontal="right"/>
    </xf>
    <xf numFmtId="4" fontId="26" fillId="6" borderId="39" xfId="7" applyNumberFormat="1" applyFont="1" applyBorder="1" applyAlignment="1">
      <alignment horizontal="right"/>
    </xf>
    <xf numFmtId="4" fontId="26" fillId="6" borderId="42" xfId="7" applyNumberFormat="1" applyFont="1" applyBorder="1" applyAlignment="1">
      <alignment horizontal="right"/>
    </xf>
    <xf numFmtId="4" fontId="31" fillId="6" borderId="40" xfId="7" applyNumberFormat="1" applyFont="1" applyBorder="1" applyAlignment="1">
      <alignment horizontal="right"/>
    </xf>
    <xf numFmtId="4" fontId="29" fillId="6" borderId="40" xfId="7" applyNumberFormat="1" applyFont="1" applyBorder="1" applyAlignment="1">
      <alignment horizontal="right" vertical="center" wrapText="1"/>
    </xf>
    <xf numFmtId="4" fontId="29" fillId="6" borderId="38" xfId="7" applyNumberFormat="1" applyFont="1" applyBorder="1" applyAlignment="1">
      <alignment horizontal="right" vertical="center" wrapText="1"/>
    </xf>
    <xf numFmtId="4" fontId="29" fillId="6" borderId="38" xfId="7" applyNumberFormat="1" applyFont="1" applyBorder="1"/>
    <xf numFmtId="4" fontId="29" fillId="6" borderId="38" xfId="7" applyNumberFormat="1" applyFont="1" applyBorder="1" applyAlignment="1">
      <alignment horizontal="right"/>
    </xf>
    <xf numFmtId="4" fontId="38" fillId="6" borderId="40" xfId="7" applyNumberFormat="1" applyFont="1" applyBorder="1" applyAlignment="1">
      <alignment horizontal="right"/>
    </xf>
    <xf numFmtId="4" fontId="35" fillId="6" borderId="38" xfId="7" applyNumberFormat="1" applyFont="1" applyBorder="1" applyAlignment="1">
      <alignment horizontal="right"/>
    </xf>
    <xf numFmtId="4" fontId="29" fillId="6" borderId="39" xfId="7" applyNumberFormat="1" applyFont="1" applyBorder="1" applyAlignment="1">
      <alignment horizontal="right"/>
    </xf>
    <xf numFmtId="4" fontId="33" fillId="6" borderId="43" xfId="7" applyNumberFormat="1" applyFont="1" applyBorder="1" applyAlignment="1">
      <alignment horizontal="right"/>
    </xf>
    <xf numFmtId="4" fontId="22" fillId="0" borderId="44" xfId="0" applyNumberFormat="1" applyFont="1" applyBorder="1" applyAlignment="1">
      <alignment horizontal="right"/>
    </xf>
    <xf numFmtId="166" fontId="22" fillId="0" borderId="36" xfId="0" applyNumberFormat="1" applyFont="1" applyBorder="1" applyAlignment="1">
      <alignment horizontal="right"/>
    </xf>
    <xf numFmtId="4" fontId="22" fillId="0" borderId="36" xfId="0" applyNumberFormat="1" applyFont="1" applyBorder="1"/>
    <xf numFmtId="4" fontId="22" fillId="0" borderId="45" xfId="0" applyNumberFormat="1" applyFont="1" applyBorder="1"/>
    <xf numFmtId="4" fontId="29" fillId="0" borderId="45" xfId="0" applyNumberFormat="1" applyFont="1" applyBorder="1" applyAlignment="1">
      <alignment horizontal="right"/>
    </xf>
    <xf numFmtId="4" fontId="26" fillId="0" borderId="45" xfId="0" applyNumberFormat="1" applyFont="1" applyBorder="1" applyAlignment="1">
      <alignment horizontal="right"/>
    </xf>
    <xf numFmtId="4" fontId="28" fillId="0" borderId="43" xfId="0" applyNumberFormat="1" applyFont="1" applyBorder="1" applyAlignment="1">
      <alignment horizontal="right"/>
    </xf>
    <xf numFmtId="4" fontId="22" fillId="0" borderId="36" xfId="0" applyNumberFormat="1" applyFont="1" applyBorder="1" applyAlignment="1">
      <alignment horizontal="right"/>
    </xf>
    <xf numFmtId="4" fontId="22" fillId="0" borderId="45" xfId="0" applyNumberFormat="1" applyFont="1" applyBorder="1" applyAlignment="1">
      <alignment horizontal="right"/>
    </xf>
    <xf numFmtId="4" fontId="22" fillId="0" borderId="42" xfId="0" applyNumberFormat="1" applyFont="1" applyBorder="1" applyAlignment="1">
      <alignment horizontal="right"/>
    </xf>
    <xf numFmtId="4" fontId="28" fillId="0" borderId="35" xfId="0" applyNumberFormat="1" applyFont="1" applyBorder="1" applyAlignment="1">
      <alignment horizontal="right"/>
    </xf>
    <xf numFmtId="0" fontId="0" fillId="2" borderId="46" xfId="0" applyFill="1" applyBorder="1" applyAlignment="1">
      <alignment horizontal="right" vertical="center"/>
    </xf>
    <xf numFmtId="10" fontId="22" fillId="12" borderId="46" xfId="0" applyNumberFormat="1" applyFont="1" applyFill="1" applyBorder="1" applyAlignment="1">
      <alignment horizontal="right" vertical="center"/>
    </xf>
    <xf numFmtId="0" fontId="22" fillId="12" borderId="46" xfId="0" applyFont="1" applyFill="1" applyBorder="1" applyAlignment="1">
      <alignment horizontal="right" vertical="center"/>
    </xf>
    <xf numFmtId="10" fontId="26" fillId="12" borderId="49" xfId="0" applyNumberFormat="1" applyFont="1" applyFill="1" applyBorder="1" applyAlignment="1">
      <alignment horizontal="right" vertical="center"/>
    </xf>
    <xf numFmtId="0" fontId="0" fillId="0" borderId="46" xfId="0" applyBorder="1" applyAlignment="1">
      <alignment horizontal="right" vertical="center"/>
    </xf>
    <xf numFmtId="0" fontId="20" fillId="2" borderId="46" xfId="0" applyFont="1" applyFill="1" applyBorder="1" applyAlignment="1">
      <alignment horizontal="right" vertical="center"/>
    </xf>
    <xf numFmtId="0" fontId="0" fillId="2" borderId="50" xfId="0" applyFill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41" fillId="0" borderId="1" xfId="9" applyFont="1" applyBorder="1" applyAlignment="1">
      <alignment horizontal="left" vertical="center"/>
    </xf>
    <xf numFmtId="44" fontId="20" fillId="0" borderId="1" xfId="1" applyNumberFormat="1" applyFont="1" applyBorder="1" applyAlignment="1">
      <alignment horizontal="right" indent="1"/>
    </xf>
    <xf numFmtId="44" fontId="43" fillId="0" borderId="1" xfId="1" applyNumberFormat="1" applyFont="1" applyBorder="1" applyAlignment="1">
      <alignment horizontal="right"/>
    </xf>
    <xf numFmtId="44" fontId="43" fillId="0" borderId="1" xfId="1" applyNumberFormat="1" applyFont="1" applyBorder="1"/>
    <xf numFmtId="44" fontId="43" fillId="0" borderId="1" xfId="1" applyNumberFormat="1" applyFont="1" applyFill="1" applyBorder="1"/>
    <xf numFmtId="43" fontId="43" fillId="0" borderId="1" xfId="1" applyFont="1" applyBorder="1"/>
    <xf numFmtId="0" fontId="43" fillId="0" borderId="1" xfId="9" applyFont="1" applyBorder="1"/>
    <xf numFmtId="165" fontId="41" fillId="13" borderId="1" xfId="1" applyNumberFormat="1" applyFont="1" applyFill="1" applyBorder="1" applyAlignment="1">
      <alignment horizontal="center" vertical="center" wrapText="1"/>
    </xf>
    <xf numFmtId="0" fontId="41" fillId="13" borderId="1" xfId="9" applyFont="1" applyFill="1" applyBorder="1" applyAlignment="1">
      <alignment horizontal="center" vertical="center" wrapText="1"/>
    </xf>
    <xf numFmtId="0" fontId="42" fillId="13" borderId="1" xfId="9" applyFont="1" applyFill="1" applyBorder="1" applyAlignment="1">
      <alignment horizontal="center" vertical="center" wrapText="1"/>
    </xf>
    <xf numFmtId="167" fontId="42" fillId="13" borderId="1" xfId="9" quotePrefix="1" applyNumberFormat="1" applyFont="1" applyFill="1" applyBorder="1" applyAlignment="1">
      <alignment horizontal="center" vertical="center" wrapText="1"/>
    </xf>
    <xf numFmtId="43" fontId="41" fillId="13" borderId="1" xfId="1" applyFont="1" applyFill="1" applyBorder="1" applyAlignment="1">
      <alignment horizontal="center" vertical="center" wrapText="1"/>
    </xf>
    <xf numFmtId="43" fontId="41" fillId="13" borderId="1" xfId="1" applyFont="1" applyFill="1" applyBorder="1" applyAlignment="1">
      <alignment vertical="center" wrapText="1"/>
    </xf>
    <xf numFmtId="0" fontId="41" fillId="14" borderId="1" xfId="9" applyFont="1" applyFill="1" applyBorder="1" applyAlignment="1">
      <alignment horizontal="left"/>
    </xf>
    <xf numFmtId="44" fontId="42" fillId="14" borderId="1" xfId="1" applyNumberFormat="1" applyFont="1" applyFill="1" applyBorder="1"/>
    <xf numFmtId="43" fontId="42" fillId="14" borderId="1" xfId="1" applyFont="1" applyFill="1" applyBorder="1"/>
    <xf numFmtId="43" fontId="41" fillId="14" borderId="1" xfId="1" applyFont="1" applyFill="1" applyBorder="1" applyAlignment="1">
      <alignment wrapText="1"/>
    </xf>
    <xf numFmtId="0" fontId="0" fillId="7" borderId="1" xfId="0" applyFill="1" applyBorder="1"/>
    <xf numFmtId="44" fontId="0" fillId="7" borderId="1" xfId="0" applyNumberFormat="1" applyFill="1" applyBorder="1"/>
    <xf numFmtId="44" fontId="0" fillId="0" borderId="1" xfId="0" applyNumberFormat="1" applyBorder="1"/>
    <xf numFmtId="0" fontId="46" fillId="7" borderId="1" xfId="0" applyFont="1" applyFill="1" applyBorder="1"/>
    <xf numFmtId="44" fontId="46" fillId="7" borderId="1" xfId="0" applyNumberFormat="1" applyFont="1" applyFill="1" applyBorder="1"/>
    <xf numFmtId="0" fontId="0" fillId="16" borderId="1" xfId="0" applyFill="1" applyBorder="1"/>
    <xf numFmtId="44" fontId="0" fillId="16" borderId="1" xfId="0" applyNumberFormat="1" applyFill="1" applyBorder="1"/>
    <xf numFmtId="0" fontId="46" fillId="16" borderId="1" xfId="0" applyFont="1" applyFill="1" applyBorder="1"/>
    <xf numFmtId="44" fontId="46" fillId="16" borderId="1" xfId="0" applyNumberFormat="1" applyFont="1" applyFill="1" applyBorder="1"/>
    <xf numFmtId="0" fontId="0" fillId="17" borderId="1" xfId="0" applyFill="1" applyBorder="1"/>
    <xf numFmtId="44" fontId="0" fillId="17" borderId="1" xfId="0" applyNumberFormat="1" applyFill="1" applyBorder="1"/>
    <xf numFmtId="0" fontId="47" fillId="17" borderId="54" xfId="0" applyFont="1" applyFill="1" applyBorder="1"/>
    <xf numFmtId="44" fontId="47" fillId="17" borderId="54" xfId="0" applyNumberFormat="1" applyFont="1" applyFill="1" applyBorder="1"/>
    <xf numFmtId="44" fontId="43" fillId="0" borderId="1" xfId="1" applyNumberFormat="1" applyFont="1" applyBorder="1" applyAlignment="1">
      <alignment vertical="center"/>
    </xf>
    <xf numFmtId="4" fontId="22" fillId="8" borderId="0" xfId="0" applyNumberFormat="1" applyFont="1" applyFill="1" applyAlignment="1">
      <alignment horizontal="right"/>
    </xf>
    <xf numFmtId="4" fontId="30" fillId="7" borderId="0" xfId="0" applyNumberFormat="1" applyFont="1" applyFill="1"/>
    <xf numFmtId="4" fontId="22" fillId="0" borderId="0" xfId="0" applyNumberFormat="1" applyFont="1" applyAlignment="1">
      <alignment horizontal="right"/>
    </xf>
    <xf numFmtId="0" fontId="41" fillId="15" borderId="1" xfId="9" applyFont="1" applyFill="1" applyBorder="1" applyAlignment="1">
      <alignment horizontal="left"/>
    </xf>
    <xf numFmtId="44" fontId="41" fillId="15" borderId="1" xfId="1" applyNumberFormat="1" applyFont="1" applyFill="1" applyBorder="1" applyAlignment="1">
      <alignment horizontal="left"/>
    </xf>
    <xf numFmtId="44" fontId="42" fillId="15" borderId="1" xfId="9" quotePrefix="1" applyNumberFormat="1" applyFont="1" applyFill="1" applyBorder="1" applyAlignment="1">
      <alignment wrapText="1"/>
    </xf>
    <xf numFmtId="44" fontId="20" fillId="0" borderId="1" xfId="1" applyNumberFormat="1" applyFont="1" applyBorder="1" applyAlignment="1">
      <alignment horizontal="left" indent="1"/>
    </xf>
    <xf numFmtId="44" fontId="43" fillId="0" borderId="1" xfId="9" applyNumberFormat="1" applyFont="1" applyBorder="1"/>
    <xf numFmtId="0" fontId="46" fillId="18" borderId="35" xfId="0" applyFont="1" applyFill="1" applyBorder="1"/>
    <xf numFmtId="44" fontId="0" fillId="18" borderId="34" xfId="0" applyNumberFormat="1" applyFill="1" applyBorder="1"/>
    <xf numFmtId="0" fontId="0" fillId="18" borderId="34" xfId="0" applyFill="1" applyBorder="1"/>
    <xf numFmtId="0" fontId="0" fillId="18" borderId="53" xfId="0" applyFill="1" applyBorder="1"/>
    <xf numFmtId="0" fontId="0" fillId="2" borderId="0" xfId="0" applyFill="1"/>
    <xf numFmtId="44" fontId="0" fillId="2" borderId="0" xfId="0" applyNumberFormat="1" applyFill="1"/>
    <xf numFmtId="0" fontId="12" fillId="2" borderId="1" xfId="0" applyFont="1" applyFill="1" applyBorder="1" applyAlignment="1">
      <alignment horizontal="center"/>
    </xf>
    <xf numFmtId="14" fontId="21" fillId="0" borderId="0" xfId="0" applyNumberFormat="1" applyFont="1"/>
    <xf numFmtId="14" fontId="23" fillId="0" borderId="0" xfId="0" applyNumberFormat="1" applyFont="1"/>
    <xf numFmtId="14" fontId="25" fillId="0" borderId="0" xfId="0" applyNumberFormat="1" applyFont="1"/>
    <xf numFmtId="44" fontId="0" fillId="0" borderId="0" xfId="0" applyNumberFormat="1"/>
    <xf numFmtId="0" fontId="30" fillId="2" borderId="9" xfId="0" applyFont="1" applyFill="1" applyBorder="1"/>
    <xf numFmtId="0" fontId="22" fillId="0" borderId="24" xfId="0" applyFont="1" applyBorder="1" applyAlignment="1">
      <alignment vertical="top"/>
    </xf>
    <xf numFmtId="4" fontId="29" fillId="8" borderId="22" xfId="0" applyNumberFormat="1" applyFont="1" applyFill="1" applyBorder="1" applyAlignment="1">
      <alignment horizontal="right" vertical="top"/>
    </xf>
    <xf numFmtId="4" fontId="29" fillId="8" borderId="31" xfId="0" applyNumberFormat="1" applyFont="1" applyFill="1" applyBorder="1" applyAlignment="1">
      <alignment horizontal="right" vertical="top"/>
    </xf>
    <xf numFmtId="0" fontId="22" fillId="0" borderId="9" xfId="0" applyFont="1" applyBorder="1" applyAlignment="1">
      <alignment vertical="top"/>
    </xf>
    <xf numFmtId="0" fontId="30" fillId="0" borderId="9" xfId="0" applyFont="1" applyBorder="1" applyAlignment="1">
      <alignment vertical="center"/>
    </xf>
    <xf numFmtId="0" fontId="22" fillId="0" borderId="9" xfId="0" applyFont="1" applyBorder="1" applyAlignment="1">
      <alignment vertical="top" wrapText="1"/>
    </xf>
    <xf numFmtId="4" fontId="29" fillId="8" borderId="21" xfId="0" applyNumberFormat="1" applyFont="1" applyFill="1" applyBorder="1" applyAlignment="1">
      <alignment horizontal="right" vertical="top"/>
    </xf>
    <xf numFmtId="4" fontId="31" fillId="6" borderId="35" xfId="7" applyNumberFormat="1" applyFont="1" applyBorder="1" applyAlignment="1">
      <alignment horizontal="right"/>
    </xf>
    <xf numFmtId="0" fontId="28" fillId="0" borderId="27" xfId="0" applyFont="1" applyBorder="1"/>
    <xf numFmtId="4" fontId="33" fillId="8" borderId="56" xfId="0" applyNumberFormat="1" applyFont="1" applyFill="1" applyBorder="1" applyAlignment="1">
      <alignment horizontal="right"/>
    </xf>
    <xf numFmtId="4" fontId="31" fillId="0" borderId="28" xfId="0" applyNumberFormat="1" applyFont="1" applyBorder="1" applyAlignment="1">
      <alignment horizontal="right"/>
    </xf>
    <xf numFmtId="0" fontId="22" fillId="0" borderId="27" xfId="0" applyFont="1" applyBorder="1" applyAlignment="1">
      <alignment horizontal="right"/>
    </xf>
    <xf numFmtId="0" fontId="0" fillId="0" borderId="7" xfId="0" applyBorder="1"/>
    <xf numFmtId="0" fontId="20" fillId="0" borderId="7" xfId="0" applyFont="1" applyBorder="1"/>
    <xf numFmtId="10" fontId="22" fillId="12" borderId="49" xfId="0" applyNumberFormat="1" applyFont="1" applyFill="1" applyBorder="1" applyAlignment="1">
      <alignment horizontal="right" vertical="center"/>
    </xf>
    <xf numFmtId="4" fontId="26" fillId="7" borderId="0" xfId="7" applyNumberFormat="1" applyFont="1" applyFill="1" applyBorder="1" applyAlignment="1">
      <alignment horizontal="right"/>
    </xf>
    <xf numFmtId="0" fontId="46" fillId="17" borderId="54" xfId="0" applyFont="1" applyFill="1" applyBorder="1"/>
    <xf numFmtId="44" fontId="46" fillId="17" borderId="54" xfId="0" applyNumberFormat="1" applyFont="1" applyFill="1" applyBorder="1"/>
    <xf numFmtId="4" fontId="0" fillId="0" borderId="1" xfId="0" applyNumberFormat="1" applyBorder="1"/>
    <xf numFmtId="4" fontId="5" fillId="15" borderId="0" xfId="0" applyNumberFormat="1" applyFont="1" applyFill="1" applyAlignment="1">
      <alignment horizontal="center" textRotation="60" wrapText="1"/>
    </xf>
    <xf numFmtId="168" fontId="20" fillId="0" borderId="1" xfId="0" applyNumberFormat="1" applyFont="1" applyBorder="1"/>
    <xf numFmtId="168" fontId="20" fillId="0" borderId="1" xfId="0" applyNumberFormat="1" applyFont="1" applyBorder="1" applyAlignment="1">
      <alignment vertical="center"/>
    </xf>
    <xf numFmtId="0" fontId="49" fillId="0" borderId="0" xfId="0" applyFont="1" applyAlignment="1">
      <alignment horizontal="left" vertical="center"/>
    </xf>
    <xf numFmtId="0" fontId="21" fillId="0" borderId="0" xfId="0" applyFont="1" applyAlignment="1">
      <alignment vertical="top"/>
    </xf>
    <xf numFmtId="0" fontId="49" fillId="0" borderId="0" xfId="0" applyFont="1" applyAlignment="1">
      <alignment wrapText="1"/>
    </xf>
    <xf numFmtId="0" fontId="49" fillId="0" borderId="0" xfId="0" applyFont="1"/>
    <xf numFmtId="0" fontId="50" fillId="0" borderId="0" xfId="0" applyFont="1"/>
    <xf numFmtId="3" fontId="7" fillId="11" borderId="0" xfId="0" applyNumberFormat="1" applyFont="1" applyFill="1" applyAlignment="1" applyProtection="1">
      <alignment horizontal="center"/>
      <protection locked="0"/>
    </xf>
    <xf numFmtId="0" fontId="49" fillId="11" borderId="0" xfId="0" applyFont="1" applyFill="1"/>
    <xf numFmtId="0" fontId="52" fillId="0" borderId="0" xfId="0" applyFont="1"/>
    <xf numFmtId="0" fontId="55" fillId="0" borderId="0" xfId="0" applyFont="1" applyAlignment="1">
      <alignment horizontal="left" vertical="center" indent="2"/>
    </xf>
    <xf numFmtId="0" fontId="49" fillId="0" borderId="0" xfId="0" applyFont="1" applyAlignment="1">
      <alignment horizontal="center"/>
    </xf>
    <xf numFmtId="0" fontId="56" fillId="0" borderId="0" xfId="0" applyFont="1"/>
    <xf numFmtId="0" fontId="56" fillId="0" borderId="0" xfId="0" applyFont="1" applyAlignment="1">
      <alignment horizontal="center"/>
    </xf>
    <xf numFmtId="0" fontId="56" fillId="0" borderId="0" xfId="0" applyFont="1" applyAlignment="1">
      <alignment horizontal="center" wrapText="1"/>
    </xf>
    <xf numFmtId="0" fontId="49" fillId="20" borderId="1" xfId="0" applyFont="1" applyFill="1" applyBorder="1" applyAlignment="1">
      <alignment wrapText="1"/>
    </xf>
    <xf numFmtId="0" fontId="56" fillId="0" borderId="1" xfId="0" applyFont="1" applyBorder="1" applyAlignment="1">
      <alignment wrapText="1"/>
    </xf>
    <xf numFmtId="3" fontId="7" fillId="21" borderId="57" xfId="0" applyNumberFormat="1" applyFont="1" applyFill="1" applyBorder="1" applyAlignment="1" applyProtection="1">
      <alignment horizontal="center"/>
      <protection locked="0"/>
    </xf>
    <xf numFmtId="3" fontId="49" fillId="0" borderId="0" xfId="0" applyNumberFormat="1" applyFont="1"/>
    <xf numFmtId="0" fontId="49" fillId="0" borderId="1" xfId="0" applyFont="1" applyBorder="1" applyAlignment="1">
      <alignment wrapText="1"/>
    </xf>
    <xf numFmtId="10" fontId="49" fillId="0" borderId="0" xfId="0" applyNumberFormat="1" applyFont="1"/>
    <xf numFmtId="0" fontId="49" fillId="0" borderId="0" xfId="0" applyFont="1" applyAlignment="1">
      <alignment vertical="center"/>
    </xf>
    <xf numFmtId="0" fontId="49" fillId="0" borderId="1" xfId="0" applyFont="1" applyBorder="1" applyAlignment="1">
      <alignment vertical="top" wrapText="1"/>
    </xf>
    <xf numFmtId="3" fontId="7" fillId="22" borderId="57" xfId="0" applyNumberFormat="1" applyFont="1" applyFill="1" applyBorder="1" applyAlignment="1" applyProtection="1">
      <alignment horizontal="center"/>
      <protection locked="0"/>
    </xf>
    <xf numFmtId="0" fontId="49" fillId="19" borderId="1" xfId="0" applyFont="1" applyFill="1" applyBorder="1" applyAlignment="1">
      <alignment wrapText="1"/>
    </xf>
    <xf numFmtId="0" fontId="59" fillId="0" borderId="0" xfId="0" applyFont="1"/>
    <xf numFmtId="0" fontId="49" fillId="0" borderId="0" xfId="0" applyFont="1" applyAlignment="1">
      <alignment horizontal="left" vertical="top" wrapText="1"/>
    </xf>
    <xf numFmtId="4" fontId="26" fillId="7" borderId="0" xfId="7" applyNumberFormat="1" applyFont="1" applyFill="1" applyBorder="1" applyAlignment="1">
      <alignment horizontal="center" vertical="center" wrapText="1"/>
    </xf>
    <xf numFmtId="166" fontId="26" fillId="7" borderId="0" xfId="7" applyNumberFormat="1" applyFont="1" applyFill="1" applyBorder="1" applyAlignment="1">
      <alignment horizontal="center" vertical="center"/>
    </xf>
    <xf numFmtId="4" fontId="26" fillId="7" borderId="0" xfId="7" applyNumberFormat="1" applyFont="1" applyFill="1" applyBorder="1" applyAlignment="1">
      <alignment horizontal="center" wrapText="1"/>
    </xf>
    <xf numFmtId="4" fontId="31" fillId="7" borderId="0" xfId="7" applyNumberFormat="1" applyFont="1" applyFill="1" applyBorder="1" applyAlignment="1">
      <alignment horizontal="right"/>
    </xf>
    <xf numFmtId="4" fontId="29" fillId="7" borderId="0" xfId="7" applyNumberFormat="1" applyFont="1" applyFill="1" applyBorder="1" applyAlignment="1">
      <alignment horizontal="right" vertical="center" wrapText="1"/>
    </xf>
    <xf numFmtId="4" fontId="29" fillId="7" borderId="0" xfId="7" applyNumberFormat="1" applyFont="1" applyFill="1" applyBorder="1"/>
    <xf numFmtId="4" fontId="35" fillId="7" borderId="0" xfId="7" applyNumberFormat="1" applyFont="1" applyFill="1" applyBorder="1" applyAlignment="1">
      <alignment horizontal="right"/>
    </xf>
    <xf numFmtId="4" fontId="29" fillId="7" borderId="0" xfId="7" applyNumberFormat="1" applyFont="1" applyFill="1" applyBorder="1" applyAlignment="1">
      <alignment horizontal="right"/>
    </xf>
    <xf numFmtId="0" fontId="0" fillId="2" borderId="49" xfId="0" applyFill="1" applyBorder="1"/>
    <xf numFmtId="4" fontId="31" fillId="7" borderId="4" xfId="7" applyNumberFormat="1" applyFont="1" applyFill="1" applyBorder="1" applyAlignment="1">
      <alignment horizontal="right"/>
    </xf>
    <xf numFmtId="0" fontId="0" fillId="2" borderId="60" xfId="0" applyFill="1" applyBorder="1"/>
    <xf numFmtId="4" fontId="29" fillId="7" borderId="3" xfId="7" applyNumberFormat="1" applyFont="1" applyFill="1" applyBorder="1" applyAlignment="1">
      <alignment horizontal="right" vertical="center" wrapText="1"/>
    </xf>
    <xf numFmtId="4" fontId="26" fillId="7" borderId="3" xfId="7" applyNumberFormat="1" applyFont="1" applyFill="1" applyBorder="1" applyAlignment="1">
      <alignment horizontal="right"/>
    </xf>
    <xf numFmtId="0" fontId="0" fillId="2" borderId="55" xfId="0" applyFill="1" applyBorder="1"/>
    <xf numFmtId="0" fontId="0" fillId="2" borderId="23" xfId="0" applyFill="1" applyBorder="1"/>
    <xf numFmtId="0" fontId="0" fillId="2" borderId="25" xfId="0" applyFill="1" applyBorder="1"/>
    <xf numFmtId="0" fontId="0" fillId="2" borderId="24" xfId="0" applyFill="1" applyBorder="1"/>
    <xf numFmtId="10" fontId="22" fillId="12" borderId="52" xfId="0" applyNumberFormat="1" applyFont="1" applyFill="1" applyBorder="1" applyAlignment="1">
      <alignment horizontal="right" vertical="center"/>
    </xf>
    <xf numFmtId="10" fontId="26" fillId="12" borderId="52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vertical="top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30" fillId="0" borderId="24" xfId="0" applyFont="1" applyBorder="1" applyAlignment="1">
      <alignment wrapText="1"/>
    </xf>
    <xf numFmtId="4" fontId="26" fillId="7" borderId="0" xfId="7" applyNumberFormat="1" applyFont="1" applyFill="1" applyBorder="1" applyAlignment="1">
      <alignment horizontal="right" vertical="center"/>
    </xf>
    <xf numFmtId="4" fontId="30" fillId="7" borderId="0" xfId="0" applyNumberFormat="1" applyFont="1" applyFill="1" applyAlignment="1">
      <alignment horizontal="right" vertical="center"/>
    </xf>
    <xf numFmtId="0" fontId="22" fillId="0" borderId="9" xfId="0" applyFont="1" applyBorder="1" applyAlignment="1">
      <alignment vertical="center"/>
    </xf>
    <xf numFmtId="4" fontId="29" fillId="8" borderId="21" xfId="0" applyNumberFormat="1" applyFont="1" applyFill="1" applyBorder="1" applyAlignment="1">
      <alignment horizontal="right" vertical="center"/>
    </xf>
    <xf numFmtId="0" fontId="22" fillId="0" borderId="24" xfId="0" applyFont="1" applyBorder="1" applyAlignment="1">
      <alignment vertical="center"/>
    </xf>
    <xf numFmtId="4" fontId="22" fillId="8" borderId="0" xfId="0" applyNumberFormat="1" applyFont="1" applyFill="1" applyAlignment="1">
      <alignment horizontal="right" vertical="center"/>
    </xf>
    <xf numFmtId="0" fontId="0" fillId="0" borderId="0" xfId="0" applyAlignment="1">
      <alignment vertical="center"/>
    </xf>
    <xf numFmtId="44" fontId="46" fillId="18" borderId="1" xfId="0" applyNumberFormat="1" applyFont="1" applyFill="1" applyBorder="1"/>
    <xf numFmtId="44" fontId="0" fillId="18" borderId="1" xfId="0" applyNumberFormat="1" applyFill="1" applyBorder="1"/>
    <xf numFmtId="0" fontId="45" fillId="17" borderId="34" xfId="0" applyFont="1" applyFill="1" applyBorder="1"/>
    <xf numFmtId="0" fontId="45" fillId="17" borderId="53" xfId="0" applyFont="1" applyFill="1" applyBorder="1"/>
    <xf numFmtId="0" fontId="45" fillId="7" borderId="34" xfId="0" applyFont="1" applyFill="1" applyBorder="1"/>
    <xf numFmtId="0" fontId="45" fillId="16" borderId="34" xfId="0" applyFont="1" applyFill="1" applyBorder="1"/>
    <xf numFmtId="0" fontId="45" fillId="16" borderId="53" xfId="0" applyFont="1" applyFill="1" applyBorder="1"/>
    <xf numFmtId="0" fontId="5" fillId="0" borderId="0" xfId="0" applyFont="1" applyAlignment="1">
      <alignment horizontal="left" vertical="top"/>
    </xf>
    <xf numFmtId="164" fontId="60" fillId="0" borderId="0" xfId="0" applyNumberFormat="1" applyFont="1"/>
    <xf numFmtId="0" fontId="5" fillId="0" borderId="0" xfId="0" applyFont="1" applyAlignment="1">
      <alignment horizontal="right"/>
    </xf>
    <xf numFmtId="164" fontId="60" fillId="0" borderId="0" xfId="0" applyNumberFormat="1" applyFont="1" applyAlignment="1">
      <alignment horizontal="right"/>
    </xf>
    <xf numFmtId="2" fontId="3" fillId="0" borderId="0" xfId="0" applyNumberFormat="1" applyFont="1" applyAlignment="1">
      <alignment vertical="top" wrapText="1"/>
    </xf>
    <xf numFmtId="164" fontId="61" fillId="0" borderId="2" xfId="0" applyNumberFormat="1" applyFont="1" applyBorder="1"/>
    <xf numFmtId="164" fontId="62" fillId="0" borderId="2" xfId="0" applyNumberFormat="1" applyFont="1" applyBorder="1"/>
    <xf numFmtId="164" fontId="61" fillId="0" borderId="0" xfId="0" applyNumberFormat="1" applyFont="1"/>
    <xf numFmtId="164" fontId="4" fillId="0" borderId="0" xfId="0" applyNumberFormat="1" applyFont="1"/>
    <xf numFmtId="2" fontId="4" fillId="0" borderId="0" xfId="0" applyNumberFormat="1" applyFont="1"/>
    <xf numFmtId="2" fontId="5" fillId="0" borderId="0" xfId="0" applyNumberFormat="1" applyFont="1" applyAlignment="1">
      <alignment vertical="top"/>
    </xf>
    <xf numFmtId="164" fontId="5" fillId="0" borderId="0" xfId="0" applyNumberFormat="1" applyFont="1" applyAlignment="1">
      <alignment wrapText="1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164" fontId="60" fillId="0" borderId="0" xfId="0" applyNumberFormat="1" applyFont="1" applyAlignment="1">
      <alignment horizontal="right" vertical="center"/>
    </xf>
    <xf numFmtId="14" fontId="5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4" fontId="60" fillId="0" borderId="0" xfId="0" applyNumberFormat="1" applyFont="1"/>
    <xf numFmtId="164" fontId="62" fillId="0" borderId="2" xfId="0" applyNumberFormat="1" applyFont="1" applyBorder="1" applyAlignment="1">
      <alignment horizontal="right"/>
    </xf>
    <xf numFmtId="164" fontId="4" fillId="18" borderId="0" xfId="0" applyNumberFormat="1" applyFont="1" applyFill="1"/>
    <xf numFmtId="164" fontId="61" fillId="18" borderId="0" xfId="0" applyNumberFormat="1" applyFont="1" applyFill="1"/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164" fontId="12" fillId="0" borderId="0" xfId="0" applyNumberFormat="1" applyFont="1" applyAlignment="1">
      <alignment horizontal="center"/>
    </xf>
    <xf numFmtId="4" fontId="31" fillId="7" borderId="61" xfId="7" applyNumberFormat="1" applyFont="1" applyFill="1" applyBorder="1" applyAlignment="1">
      <alignment horizontal="right"/>
    </xf>
    <xf numFmtId="4" fontId="38" fillId="7" borderId="3" xfId="7" applyNumberFormat="1" applyFont="1" applyFill="1" applyBorder="1" applyAlignment="1">
      <alignment horizontal="right"/>
    </xf>
    <xf numFmtId="2" fontId="5" fillId="23" borderId="0" xfId="0" applyNumberFormat="1" applyFont="1" applyFill="1" applyAlignment="1">
      <alignment horizontal="center" textRotation="60" wrapText="1"/>
    </xf>
    <xf numFmtId="49" fontId="20" fillId="0" borderId="0" xfId="0" applyNumberFormat="1" applyFont="1" applyAlignment="1">
      <alignment horizontal="left"/>
    </xf>
    <xf numFmtId="164" fontId="48" fillId="0" borderId="0" xfId="0" applyNumberFormat="1" applyFont="1"/>
    <xf numFmtId="0" fontId="0" fillId="0" borderId="0" xfId="0" applyAlignment="1">
      <alignment horizontal="center" vertical="top"/>
    </xf>
    <xf numFmtId="164" fontId="5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left"/>
    </xf>
    <xf numFmtId="14" fontId="5" fillId="0" borderId="0" xfId="0" applyNumberFormat="1" applyFont="1" applyAlignment="1">
      <alignment horizontal="right"/>
    </xf>
    <xf numFmtId="164" fontId="63" fillId="0" borderId="0" xfId="0" applyNumberFormat="1" applyFont="1" applyAlignment="1">
      <alignment horizontal="left"/>
    </xf>
    <xf numFmtId="0" fontId="0" fillId="0" borderId="0" xfId="0" applyAlignment="1">
      <alignment horizontal="center" vertical="center"/>
    </xf>
    <xf numFmtId="0" fontId="5" fillId="24" borderId="0" xfId="0" applyFont="1" applyFill="1"/>
    <xf numFmtId="0" fontId="5" fillId="24" borderId="0" xfId="0" applyFont="1" applyFill="1" applyAlignment="1">
      <alignment horizontal="center" textRotation="60" wrapText="1"/>
    </xf>
    <xf numFmtId="0" fontId="5" fillId="24" borderId="0" xfId="0" applyFont="1" applyFill="1" applyAlignment="1">
      <alignment horizontal="right"/>
    </xf>
    <xf numFmtId="0" fontId="4" fillId="24" borderId="0" xfId="0" applyFont="1" applyFill="1"/>
    <xf numFmtId="0" fontId="0" fillId="0" borderId="1" xfId="0" applyBorder="1" applyAlignment="1">
      <alignment wrapText="1"/>
    </xf>
    <xf numFmtId="4" fontId="29" fillId="6" borderId="38" xfId="7" applyNumberFormat="1" applyFont="1" applyBorder="1" applyAlignment="1">
      <alignment vertical="center"/>
    </xf>
    <xf numFmtId="0" fontId="22" fillId="0" borderId="8" xfId="0" applyFont="1" applyBorder="1" applyAlignment="1">
      <alignment vertical="center"/>
    </xf>
    <xf numFmtId="4" fontId="22" fillId="0" borderId="9" xfId="0" applyNumberFormat="1" applyFont="1" applyBorder="1" applyAlignment="1">
      <alignment vertical="center"/>
    </xf>
    <xf numFmtId="4" fontId="29" fillId="8" borderId="21" xfId="0" applyNumberFormat="1" applyFont="1" applyFill="1" applyBorder="1" applyAlignment="1">
      <alignment vertical="center"/>
    </xf>
    <xf numFmtId="0" fontId="22" fillId="0" borderId="10" xfId="0" applyFont="1" applyBorder="1" applyAlignment="1">
      <alignment vertical="center"/>
    </xf>
    <xf numFmtId="0" fontId="30" fillId="0" borderId="9" xfId="0" applyFont="1" applyBorder="1" applyAlignment="1">
      <alignment vertical="center" wrapText="1"/>
    </xf>
    <xf numFmtId="4" fontId="30" fillId="7" borderId="0" xfId="0" applyNumberFormat="1" applyFont="1" applyFill="1" applyAlignment="1">
      <alignment vertical="center"/>
    </xf>
    <xf numFmtId="44" fontId="43" fillId="0" borderId="1" xfId="9" applyNumberFormat="1" applyFont="1" applyBorder="1" applyAlignment="1">
      <alignment vertical="center"/>
    </xf>
    <xf numFmtId="16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1" fillId="26" borderId="1" xfId="9" applyFont="1" applyFill="1" applyBorder="1" applyAlignment="1">
      <alignment horizontal="left"/>
    </xf>
    <xf numFmtId="44" fontId="41" fillId="26" borderId="1" xfId="1" applyNumberFormat="1" applyFont="1" applyFill="1" applyBorder="1" applyAlignment="1">
      <alignment horizontal="left"/>
    </xf>
    <xf numFmtId="0" fontId="44" fillId="25" borderId="1" xfId="0" applyFont="1" applyFill="1" applyBorder="1"/>
    <xf numFmtId="44" fontId="44" fillId="25" borderId="1" xfId="0" applyNumberFormat="1" applyFont="1" applyFill="1" applyBorder="1"/>
    <xf numFmtId="44" fontId="44" fillId="23" borderId="1" xfId="0" applyNumberFormat="1" applyFont="1" applyFill="1" applyBorder="1"/>
    <xf numFmtId="4" fontId="26" fillId="12" borderId="47" xfId="7" applyNumberFormat="1" applyFont="1" applyFill="1" applyBorder="1" applyAlignment="1">
      <alignment horizontal="center" vertical="top" wrapText="1"/>
    </xf>
    <xf numFmtId="4" fontId="26" fillId="12" borderId="46" xfId="7" applyNumberFormat="1" applyFont="1" applyFill="1" applyBorder="1" applyAlignment="1">
      <alignment horizontal="center" vertical="top" wrapText="1"/>
    </xf>
    <xf numFmtId="4" fontId="26" fillId="12" borderId="48" xfId="7" applyNumberFormat="1" applyFont="1" applyFill="1" applyBorder="1" applyAlignment="1">
      <alignment horizontal="center" vertical="top" wrapText="1"/>
    </xf>
    <xf numFmtId="0" fontId="40" fillId="0" borderId="51" xfId="0" applyFont="1" applyBorder="1" applyAlignment="1">
      <alignment horizontal="center"/>
    </xf>
    <xf numFmtId="0" fontId="40" fillId="0" borderId="3" xfId="0" applyFont="1" applyBorder="1" applyAlignment="1">
      <alignment horizontal="center"/>
    </xf>
    <xf numFmtId="0" fontId="40" fillId="0" borderId="52" xfId="0" applyFont="1" applyBorder="1" applyAlignment="1">
      <alignment horizontal="center"/>
    </xf>
    <xf numFmtId="4" fontId="22" fillId="0" borderId="59" xfId="0" applyNumberFormat="1" applyFont="1" applyBorder="1" applyAlignment="1">
      <alignment horizontal="center" vertical="center"/>
    </xf>
    <xf numFmtId="4" fontId="22" fillId="0" borderId="49" xfId="0" applyNumberFormat="1" applyFont="1" applyBorder="1" applyAlignment="1">
      <alignment horizontal="center" vertical="center"/>
    </xf>
    <xf numFmtId="4" fontId="26" fillId="12" borderId="59" xfId="7" applyNumberFormat="1" applyFont="1" applyFill="1" applyBorder="1" applyAlignment="1">
      <alignment horizontal="center" vertical="top" wrapText="1"/>
    </xf>
    <xf numFmtId="4" fontId="26" fillId="12" borderId="49" xfId="7" applyNumberFormat="1" applyFont="1" applyFill="1" applyBorder="1" applyAlignment="1">
      <alignment horizontal="center" vertical="top" wrapText="1"/>
    </xf>
    <xf numFmtId="0" fontId="40" fillId="2" borderId="51" xfId="0" applyFont="1" applyFill="1" applyBorder="1" applyAlignment="1">
      <alignment horizontal="center"/>
    </xf>
    <xf numFmtId="0" fontId="40" fillId="2" borderId="3" xfId="0" applyFont="1" applyFill="1" applyBorder="1" applyAlignment="1">
      <alignment horizontal="center"/>
    </xf>
    <xf numFmtId="0" fontId="40" fillId="2" borderId="52" xfId="0" applyFont="1" applyFill="1" applyBorder="1" applyAlignment="1">
      <alignment horizontal="center"/>
    </xf>
    <xf numFmtId="0" fontId="44" fillId="2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45" fillId="17" borderId="35" xfId="0" applyFont="1" applyFill="1" applyBorder="1" applyAlignment="1">
      <alignment horizontal="left"/>
    </xf>
    <xf numFmtId="0" fontId="45" fillId="17" borderId="34" xfId="0" applyFont="1" applyFill="1" applyBorder="1" applyAlignment="1">
      <alignment horizontal="left"/>
    </xf>
    <xf numFmtId="0" fontId="45" fillId="7" borderId="35" xfId="0" applyFont="1" applyFill="1" applyBorder="1" applyAlignment="1">
      <alignment horizontal="left"/>
    </xf>
    <xf numFmtId="0" fontId="45" fillId="7" borderId="34" xfId="0" applyFont="1" applyFill="1" applyBorder="1" applyAlignment="1">
      <alignment horizontal="left"/>
    </xf>
    <xf numFmtId="0" fontId="45" fillId="16" borderId="35" xfId="0" applyFont="1" applyFill="1" applyBorder="1" applyAlignment="1">
      <alignment horizontal="left"/>
    </xf>
    <xf numFmtId="0" fontId="45" fillId="16" borderId="34" xfId="0" applyFont="1" applyFill="1" applyBorder="1" applyAlignment="1">
      <alignment horizontal="left"/>
    </xf>
    <xf numFmtId="4" fontId="4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1" fillId="0" borderId="0" xfId="0" applyFont="1" applyAlignment="1">
      <alignment horizontal="center"/>
    </xf>
    <xf numFmtId="0" fontId="13" fillId="2" borderId="0" xfId="4" applyFont="1" applyFill="1" applyAlignment="1">
      <alignment horizontal="center"/>
    </xf>
    <xf numFmtId="0" fontId="19" fillId="2" borderId="0" xfId="4" applyFont="1" applyFill="1" applyAlignment="1">
      <alignment horizontal="center"/>
    </xf>
    <xf numFmtId="0" fontId="49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49" fillId="0" borderId="0" xfId="0" applyFont="1" applyAlignment="1">
      <alignment horizontal="left" vertical="center"/>
    </xf>
    <xf numFmtId="0" fontId="54" fillId="0" borderId="0" xfId="0" applyFont="1" applyAlignment="1">
      <alignment horizontal="left" vertical="center" wrapText="1"/>
    </xf>
    <xf numFmtId="0" fontId="54" fillId="0" borderId="0" xfId="0" applyFont="1" applyAlignment="1">
      <alignment horizontal="left" vertical="center"/>
    </xf>
    <xf numFmtId="0" fontId="49" fillId="0" borderId="0" xfId="0" applyFont="1" applyAlignment="1">
      <alignment horizontal="left" vertical="center" wrapText="1"/>
    </xf>
    <xf numFmtId="0" fontId="49" fillId="0" borderId="0" xfId="0" applyFont="1" applyAlignment="1">
      <alignment wrapText="1"/>
    </xf>
    <xf numFmtId="0" fontId="49" fillId="0" borderId="58" xfId="0" applyFont="1" applyBorder="1" applyAlignment="1">
      <alignment wrapText="1"/>
    </xf>
    <xf numFmtId="49" fontId="9" fillId="3" borderId="0" xfId="6" applyNumberFormat="1" applyFont="1" applyFill="1" applyAlignment="1">
      <alignment horizontal="center" vertical="top" wrapText="1"/>
    </xf>
    <xf numFmtId="14" fontId="9" fillId="0" borderId="0" xfId="6" applyNumberFormat="1" applyFont="1" applyAlignment="1">
      <alignment horizontal="center" wrapText="1"/>
    </xf>
    <xf numFmtId="0" fontId="0" fillId="0" borderId="62" xfId="0" applyBorder="1" applyAlignment="1">
      <alignment horizontal="center" vertical="center" wrapText="1"/>
    </xf>
    <xf numFmtId="0" fontId="0" fillId="0" borderId="63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4" fontId="43" fillId="0" borderId="1" xfId="2" applyNumberFormat="1" applyFont="1" applyBorder="1" applyAlignment="1">
      <alignment horizontal="center" vertical="center"/>
    </xf>
    <xf numFmtId="44" fontId="43" fillId="0" borderId="1" xfId="2" applyNumberFormat="1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64" fillId="0" borderId="0" xfId="9" applyFont="1" applyBorder="1" applyAlignment="1">
      <alignment horizontal="center" vertical="center" wrapText="1"/>
    </xf>
    <xf numFmtId="0" fontId="64" fillId="0" borderId="0" xfId="9" applyFont="1" applyBorder="1" applyAlignment="1">
      <alignment horizontal="center" vertical="center" wrapText="1"/>
    </xf>
    <xf numFmtId="9" fontId="42" fillId="14" borderId="1" xfId="14" applyFont="1" applyFill="1" applyBorder="1" applyAlignment="1">
      <alignment horizontal="center" vertical="center"/>
    </xf>
    <xf numFmtId="9" fontId="42" fillId="0" borderId="1" xfId="14" applyFont="1" applyBorder="1" applyAlignment="1">
      <alignment horizontal="center" vertical="center"/>
    </xf>
    <xf numFmtId="9" fontId="42" fillId="14" borderId="1" xfId="14" applyFont="1" applyFill="1" applyBorder="1" applyAlignment="1">
      <alignment horizontal="center"/>
    </xf>
    <xf numFmtId="168" fontId="13" fillId="23" borderId="54" xfId="0" applyNumberFormat="1" applyFont="1" applyFill="1" applyBorder="1" applyAlignment="1">
      <alignment horizontal="center"/>
    </xf>
    <xf numFmtId="44" fontId="44" fillId="23" borderId="54" xfId="0" applyNumberFormat="1" applyFont="1" applyFill="1" applyBorder="1"/>
    <xf numFmtId="0" fontId="64" fillId="0" borderId="1" xfId="9" applyFont="1" applyBorder="1" applyAlignment="1">
      <alignment horizontal="center" vertical="center" wrapText="1"/>
    </xf>
    <xf numFmtId="0" fontId="64" fillId="27" borderId="1" xfId="9" applyFont="1" applyFill="1" applyBorder="1" applyAlignment="1">
      <alignment horizontal="center" vertical="center" wrapText="1"/>
    </xf>
    <xf numFmtId="9" fontId="44" fillId="23" borderId="1" xfId="14" applyFont="1" applyFill="1" applyBorder="1" applyAlignment="1">
      <alignment horizontal="center" vertical="center"/>
    </xf>
    <xf numFmtId="9" fontId="44" fillId="25" borderId="1" xfId="14" applyFont="1" applyFill="1" applyBorder="1" applyAlignment="1">
      <alignment horizontal="center" vertical="center"/>
    </xf>
    <xf numFmtId="9" fontId="41" fillId="26" borderId="1" xfId="14" applyFont="1" applyFill="1" applyBorder="1" applyAlignment="1">
      <alignment horizontal="center" vertical="center"/>
    </xf>
    <xf numFmtId="9" fontId="41" fillId="26" borderId="1" xfId="14" applyFont="1" applyFill="1" applyBorder="1" applyAlignment="1">
      <alignment horizontal="center"/>
    </xf>
    <xf numFmtId="9" fontId="12" fillId="0" borderId="1" xfId="14" applyFont="1" applyBorder="1" applyAlignment="1">
      <alignment horizontal="center" vertical="center"/>
    </xf>
    <xf numFmtId="44" fontId="44" fillId="25" borderId="1" xfId="0" applyNumberFormat="1" applyFont="1" applyFill="1" applyBorder="1" applyAlignment="1">
      <alignment horizontal="right"/>
    </xf>
  </cellXfs>
  <cellStyles count="15">
    <cellStyle name="Comma" xfId="1" builtinId="3"/>
    <cellStyle name="Comma 2" xfId="10" xr:uid="{FD26964D-B50F-448B-A7D8-A5DF8F4F3E46}"/>
    <cellStyle name="Comma 3" xfId="2" xr:uid="{00000000-0005-0000-0000-000001000000}"/>
    <cellStyle name="Comma 3 2" xfId="13" xr:uid="{EE6FEDB2-E96D-44BC-B9B9-A94ADBFF2C68}"/>
    <cellStyle name="Currency" xfId="3" builtinId="4"/>
    <cellStyle name="Currency 2" xfId="11" xr:uid="{D6A7ABD1-0E8E-4FCD-AF3B-B1DF6DC86333}"/>
    <cellStyle name="Good" xfId="7" builtinId="26"/>
    <cellStyle name="Hyperlink" xfId="8" builtinId="8"/>
    <cellStyle name="Normal" xfId="0" builtinId="0"/>
    <cellStyle name="Normal 2" xfId="4" xr:uid="{00000000-0005-0000-0000-000004000000}"/>
    <cellStyle name="Normal 3" xfId="5" xr:uid="{00000000-0005-0000-0000-000005000000}"/>
    <cellStyle name="Normal_Master Copy Scole Parish Council Accounts" xfId="6" xr:uid="{00000000-0005-0000-0000-000006000000}"/>
    <cellStyle name="Normal_Proposed Budget 2011-12" xfId="9" xr:uid="{AA1371ED-8CF3-49A8-8FFA-57616358B71F}"/>
    <cellStyle name="Per cent" xfId="14" builtinId="5"/>
    <cellStyle name="Percent 2" xfId="12" xr:uid="{5C7441C0-332F-4358-99BD-E4BBAB2E0773}"/>
  </cellStyles>
  <dxfs count="35"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ont>
        <color rgb="FFC00000"/>
      </font>
      <fill>
        <patternFill patternType="none">
          <bgColor auto="1"/>
        </patternFill>
      </fill>
    </dxf>
    <dxf>
      <font>
        <color rgb="FFC00000"/>
      </font>
      <fill>
        <patternFill patternType="none">
          <bgColor auto="1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ont>
        <color rgb="FFC00000"/>
      </font>
      <fill>
        <patternFill patternType="none">
          <bgColor auto="1"/>
        </patternFill>
      </fill>
    </dxf>
    <dxf>
      <font>
        <color rgb="FFC00000"/>
      </font>
      <fill>
        <patternFill patternType="none">
          <bgColor auto="1"/>
        </patternFill>
      </fill>
    </dxf>
    <dxf>
      <fill>
        <patternFill>
          <bgColor theme="8" tint="0.59996337778862885"/>
        </patternFill>
      </fill>
    </dxf>
    <dxf>
      <font>
        <color rgb="FFC00000"/>
      </font>
      <fill>
        <patternFill patternType="none">
          <bgColor auto="1"/>
        </patternFill>
      </fill>
    </dxf>
    <dxf>
      <fill>
        <patternFill>
          <bgColor theme="8" tint="0.59996337778862885"/>
        </patternFill>
      </fill>
    </dxf>
    <dxf>
      <font>
        <color rgb="FFC00000"/>
      </font>
      <fill>
        <patternFill patternType="none">
          <bgColor auto="1"/>
        </patternFill>
      </fill>
    </dxf>
    <dxf>
      <fill>
        <patternFill>
          <bgColor theme="8" tint="0.59996337778862885"/>
        </patternFill>
      </fill>
    </dxf>
    <dxf>
      <font>
        <color rgb="FFC0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CC"/>
      <color rgb="FF99FF99"/>
      <color rgb="FF66FF66"/>
      <color rgb="FFFF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7221C-29E2-488F-BDBA-D7A5CF30065F}">
  <sheetPr codeName="Sheet1">
    <tabColor rgb="FF0070C0"/>
    <pageSetUpPr fitToPage="1"/>
  </sheetPr>
  <dimension ref="A1:J59"/>
  <sheetViews>
    <sheetView topLeftCell="A28" zoomScale="90" zoomScaleNormal="90" workbookViewId="0">
      <selection activeCell="D25" sqref="D25"/>
    </sheetView>
  </sheetViews>
  <sheetFormatPr defaultColWidth="8.7109375" defaultRowHeight="15" x14ac:dyDescent="0.25"/>
  <cols>
    <col min="1" max="1" width="13.85546875" customWidth="1"/>
    <col min="2" max="2" width="0.85546875" customWidth="1"/>
    <col min="3" max="3" width="28.140625" customWidth="1"/>
    <col min="4" max="4" width="0.85546875" customWidth="1"/>
    <col min="5" max="5" width="15.42578125" customWidth="1"/>
    <col min="6" max="6" width="0.85546875" customWidth="1"/>
    <col min="7" max="7" width="30" customWidth="1"/>
    <col min="8" max="8" width="0.85546875" customWidth="1"/>
    <col min="9" max="9" width="17.140625" customWidth="1"/>
    <col min="10" max="10" width="18.85546875" style="219" customWidth="1"/>
  </cols>
  <sheetData>
    <row r="1" spans="1:10" ht="23.25" x14ac:dyDescent="0.35">
      <c r="A1" s="416" t="s">
        <v>134</v>
      </c>
      <c r="B1" s="417"/>
      <c r="C1" s="417"/>
      <c r="D1" s="417"/>
      <c r="E1" s="417"/>
      <c r="F1" s="417"/>
      <c r="G1" s="417"/>
      <c r="H1" s="417"/>
      <c r="I1" s="417"/>
      <c r="J1" s="418"/>
    </row>
    <row r="2" spans="1:10" ht="8.1" customHeight="1" x14ac:dyDescent="0.25">
      <c r="A2" s="183"/>
      <c r="B2" s="147"/>
      <c r="C2" s="147"/>
      <c r="D2" s="147"/>
      <c r="E2" s="148"/>
      <c r="F2" s="147"/>
      <c r="G2" s="135"/>
      <c r="H2" s="147"/>
      <c r="I2" s="146"/>
      <c r="J2" s="212"/>
    </row>
    <row r="3" spans="1:10" ht="31.5" customHeight="1" x14ac:dyDescent="0.25">
      <c r="A3" s="184" t="s">
        <v>80</v>
      </c>
      <c r="B3" s="140"/>
      <c r="C3" s="145" t="s">
        <v>82</v>
      </c>
      <c r="D3" s="144"/>
      <c r="E3" s="143" t="s">
        <v>81</v>
      </c>
      <c r="F3" s="142"/>
      <c r="G3" s="141"/>
      <c r="H3" s="140"/>
      <c r="I3" s="139" t="s">
        <v>80</v>
      </c>
      <c r="J3" s="413" t="s">
        <v>261</v>
      </c>
    </row>
    <row r="4" spans="1:10" ht="15.75" x14ac:dyDescent="0.25">
      <c r="A4" s="185">
        <v>45382</v>
      </c>
      <c r="B4" s="134"/>
      <c r="C4" s="138"/>
      <c r="D4" s="138"/>
      <c r="E4" s="137">
        <v>45747</v>
      </c>
      <c r="F4" s="136"/>
      <c r="G4" s="135"/>
      <c r="H4" s="134"/>
      <c r="I4" s="151">
        <f>SUM('Bank Recon'!B8)</f>
        <v>45646</v>
      </c>
      <c r="J4" s="414"/>
    </row>
    <row r="5" spans="1:10" ht="15.75" x14ac:dyDescent="0.25">
      <c r="A5" s="186" t="s">
        <v>75</v>
      </c>
      <c r="B5" s="131"/>
      <c r="C5" s="128" t="s">
        <v>79</v>
      </c>
      <c r="D5" s="133"/>
      <c r="E5" s="127" t="s">
        <v>75</v>
      </c>
      <c r="F5" s="132"/>
      <c r="G5" s="125" t="s">
        <v>76</v>
      </c>
      <c r="H5" s="131"/>
      <c r="I5" s="123" t="s">
        <v>75</v>
      </c>
      <c r="J5" s="415"/>
    </row>
    <row r="6" spans="1:10" ht="15.75" x14ac:dyDescent="0.25">
      <c r="A6" s="187">
        <v>11100</v>
      </c>
      <c r="B6" s="118"/>
      <c r="C6" s="271" t="s">
        <v>6</v>
      </c>
      <c r="D6" s="121"/>
      <c r="E6" s="130">
        <v>12500</v>
      </c>
      <c r="F6" s="120"/>
      <c r="G6" s="119"/>
      <c r="H6" s="121"/>
      <c r="I6" s="286">
        <f>SUM('Bank Account'!AQ171)</f>
        <v>12500</v>
      </c>
      <c r="J6" s="285">
        <f>I6/E6</f>
        <v>1</v>
      </c>
    </row>
    <row r="7" spans="1:10" ht="15.75" x14ac:dyDescent="0.25">
      <c r="A7" s="188">
        <v>0</v>
      </c>
      <c r="B7" s="118"/>
      <c r="C7" s="271" t="s">
        <v>179</v>
      </c>
      <c r="D7" s="121"/>
      <c r="E7" s="149">
        <v>20</v>
      </c>
      <c r="F7" s="120"/>
      <c r="G7" s="119"/>
      <c r="H7" s="121"/>
      <c r="I7" s="286">
        <f>SUM('Bank Account'!AR171)</f>
        <v>220</v>
      </c>
      <c r="J7" s="285">
        <f t="shared" ref="J7:J11" si="0">I7/E7</f>
        <v>11</v>
      </c>
    </row>
    <row r="8" spans="1:10" ht="15.75" x14ac:dyDescent="0.25">
      <c r="A8" s="189">
        <v>500</v>
      </c>
      <c r="B8" s="97"/>
      <c r="C8" s="271" t="s">
        <v>133</v>
      </c>
      <c r="D8" s="100"/>
      <c r="E8" s="102">
        <v>0</v>
      </c>
      <c r="F8" s="98"/>
      <c r="G8" s="119"/>
      <c r="H8" s="100"/>
      <c r="I8" s="286">
        <f>SUM('Bank Account'!AS171)</f>
        <v>0</v>
      </c>
      <c r="J8" s="285" t="e">
        <f t="shared" si="0"/>
        <v>#DIV/0!</v>
      </c>
    </row>
    <row r="9" spans="1:10" ht="15.75" x14ac:dyDescent="0.25">
      <c r="A9" s="189">
        <v>0</v>
      </c>
      <c r="B9" s="97"/>
      <c r="C9" s="271" t="s">
        <v>145</v>
      </c>
      <c r="D9" s="100"/>
      <c r="E9" s="102">
        <v>500</v>
      </c>
      <c r="F9" s="98"/>
      <c r="G9" s="119"/>
      <c r="H9" s="100"/>
      <c r="I9" s="286">
        <v>0</v>
      </c>
      <c r="J9" s="285">
        <f t="shared" si="0"/>
        <v>0</v>
      </c>
    </row>
    <row r="10" spans="1:10" ht="15.75" x14ac:dyDescent="0.25">
      <c r="A10" s="189">
        <v>204.15</v>
      </c>
      <c r="B10" s="97"/>
      <c r="C10" s="271" t="s">
        <v>53</v>
      </c>
      <c r="D10" s="100"/>
      <c r="E10" s="168">
        <v>150</v>
      </c>
      <c r="F10" s="98"/>
      <c r="G10" s="119" t="s">
        <v>262</v>
      </c>
      <c r="H10" s="100"/>
      <c r="I10" s="286">
        <f>SUM('Bank Account'!AX171)</f>
        <v>474.33</v>
      </c>
      <c r="J10" s="285">
        <f t="shared" si="0"/>
        <v>3.1621999999999999</v>
      </c>
    </row>
    <row r="11" spans="1:10" ht="78.75" x14ac:dyDescent="0.25">
      <c r="A11" s="190"/>
      <c r="B11" s="97"/>
      <c r="C11" s="345" t="s">
        <v>499</v>
      </c>
      <c r="D11" s="343"/>
      <c r="E11" s="346">
        <v>0</v>
      </c>
      <c r="F11" s="98"/>
      <c r="G11" s="340" t="s">
        <v>601</v>
      </c>
      <c r="H11" s="100"/>
      <c r="I11" s="341">
        <f>SUM('Bank Account'!AY173)</f>
        <v>2112.77</v>
      </c>
      <c r="J11" s="285" t="e">
        <f t="shared" si="0"/>
        <v>#DIV/0!</v>
      </c>
    </row>
    <row r="12" spans="1:10" ht="15.75" x14ac:dyDescent="0.25">
      <c r="A12" s="190">
        <v>203.54</v>
      </c>
      <c r="B12" s="97"/>
      <c r="C12" s="271" t="s">
        <v>7</v>
      </c>
      <c r="D12" s="100"/>
      <c r="E12" s="251">
        <v>140</v>
      </c>
      <c r="F12" s="98"/>
      <c r="G12" s="119"/>
      <c r="H12" s="100"/>
      <c r="I12" s="286">
        <f>SUM(Reserves!P17)</f>
        <v>200.37</v>
      </c>
      <c r="J12" s="285">
        <f>I12/E12</f>
        <v>1.4312142857142858</v>
      </c>
    </row>
    <row r="13" spans="1:10" ht="15.75" x14ac:dyDescent="0.25">
      <c r="A13" s="191">
        <v>2056.96</v>
      </c>
      <c r="B13" s="97"/>
      <c r="C13" s="271" t="s">
        <v>119</v>
      </c>
      <c r="D13" s="100"/>
      <c r="E13" s="251">
        <v>0</v>
      </c>
      <c r="F13" s="98"/>
      <c r="G13" s="119"/>
      <c r="H13" s="100"/>
      <c r="I13" s="286">
        <f>SUM('Bank Account'!AZ171)</f>
        <v>2931.11</v>
      </c>
      <c r="J13" s="285" t="e">
        <f>I13/E13</f>
        <v>#DIV/0!</v>
      </c>
    </row>
    <row r="14" spans="1:10" ht="15.75" x14ac:dyDescent="0.25">
      <c r="A14" s="192">
        <f>SUM(A6:A13)</f>
        <v>14064.650000000001</v>
      </c>
      <c r="B14" s="92"/>
      <c r="C14" s="95" t="s">
        <v>78</v>
      </c>
      <c r="D14" s="95"/>
      <c r="E14" s="129">
        <f>SUM(E6:E13)</f>
        <v>13310</v>
      </c>
      <c r="F14" s="107"/>
      <c r="G14" s="106"/>
      <c r="H14" s="92"/>
      <c r="I14" s="381">
        <f>SUM(I6:I13)</f>
        <v>18438.580000000002</v>
      </c>
      <c r="J14" s="213"/>
    </row>
    <row r="15" spans="1:10" ht="8.1" customHeight="1" x14ac:dyDescent="0.25">
      <c r="A15" s="189"/>
      <c r="B15" s="97"/>
      <c r="C15" s="100"/>
      <c r="D15" s="100"/>
      <c r="E15" s="102"/>
      <c r="F15" s="98"/>
      <c r="G15" s="104"/>
      <c r="H15" s="97"/>
      <c r="I15" s="101"/>
      <c r="J15" s="214"/>
    </row>
    <row r="16" spans="1:10" ht="15.75" x14ac:dyDescent="0.25">
      <c r="A16" s="186" t="s">
        <v>75</v>
      </c>
      <c r="B16" s="124"/>
      <c r="C16" s="128" t="s">
        <v>77</v>
      </c>
      <c r="D16" s="128"/>
      <c r="E16" s="127" t="s">
        <v>75</v>
      </c>
      <c r="F16" s="126"/>
      <c r="G16" s="125" t="s">
        <v>76</v>
      </c>
      <c r="H16" s="124"/>
      <c r="I16" s="123" t="s">
        <v>75</v>
      </c>
      <c r="J16" s="214"/>
    </row>
    <row r="17" spans="1:10" ht="15.75" customHeight="1" x14ac:dyDescent="0.25">
      <c r="A17" s="193">
        <v>5456.64</v>
      </c>
      <c r="B17" s="118"/>
      <c r="C17" s="121" t="s">
        <v>17</v>
      </c>
      <c r="D17" s="121"/>
      <c r="E17" s="122">
        <v>6067</v>
      </c>
      <c r="F17" s="120"/>
      <c r="G17" s="104"/>
      <c r="H17" s="121"/>
      <c r="I17" s="252">
        <f>SUM('Bank Account'!N171)</f>
        <v>4157.920000000001</v>
      </c>
      <c r="J17" s="215">
        <f>I17/E17</f>
        <v>0.68533377286962271</v>
      </c>
    </row>
    <row r="18" spans="1:10" ht="15.75" customHeight="1" x14ac:dyDescent="0.25">
      <c r="A18" s="194">
        <v>312</v>
      </c>
      <c r="B18" s="118"/>
      <c r="C18" s="121" t="s">
        <v>50</v>
      </c>
      <c r="D18" s="121"/>
      <c r="E18" s="109">
        <v>312</v>
      </c>
      <c r="F18" s="120"/>
      <c r="G18" s="104"/>
      <c r="H18" s="121"/>
      <c r="I18" s="252">
        <f>SUM('Bank Account'!P171)</f>
        <v>208</v>
      </c>
      <c r="J18" s="215">
        <f t="shared" ref="J18:J41" si="1">I18/E18</f>
        <v>0.66666666666666663</v>
      </c>
    </row>
    <row r="19" spans="1:10" ht="15.75" customHeight="1" x14ac:dyDescent="0.25">
      <c r="A19" s="195">
        <v>167.54</v>
      </c>
      <c r="B19" s="114"/>
      <c r="C19" s="117" t="s">
        <v>74</v>
      </c>
      <c r="D19" s="117"/>
      <c r="E19" s="116">
        <v>202</v>
      </c>
      <c r="F19" s="115"/>
      <c r="G19" s="104"/>
      <c r="H19" s="117"/>
      <c r="I19" s="252">
        <f>SUM('Bank Account'!Q171)</f>
        <v>176.97000000000003</v>
      </c>
      <c r="J19" s="215">
        <f t="shared" si="1"/>
        <v>0.8760891089108912</v>
      </c>
    </row>
    <row r="20" spans="1:10" ht="15.75" customHeight="1" x14ac:dyDescent="0.25">
      <c r="A20" s="194">
        <v>334</v>
      </c>
      <c r="B20" s="114"/>
      <c r="C20" s="117" t="s">
        <v>156</v>
      </c>
      <c r="D20" s="117"/>
      <c r="E20" s="116">
        <v>170</v>
      </c>
      <c r="F20" s="115"/>
      <c r="G20" s="104"/>
      <c r="H20" s="117"/>
      <c r="I20" s="252">
        <f>SUM('Bank Account'!R171)</f>
        <v>234</v>
      </c>
      <c r="J20" s="215">
        <f t="shared" si="1"/>
        <v>1.3764705882352941</v>
      </c>
    </row>
    <row r="21" spans="1:10" ht="15.75" customHeight="1" x14ac:dyDescent="0.25">
      <c r="A21" s="194">
        <v>86.3</v>
      </c>
      <c r="B21" s="114"/>
      <c r="C21" s="117" t="s">
        <v>157</v>
      </c>
      <c r="D21" s="117"/>
      <c r="E21" s="116">
        <v>60</v>
      </c>
      <c r="F21" s="115"/>
      <c r="G21" s="104"/>
      <c r="H21" s="117"/>
      <c r="I21" s="252">
        <f>SUM('Bank Account'!S171)</f>
        <v>0</v>
      </c>
      <c r="J21" s="215">
        <f t="shared" si="1"/>
        <v>0</v>
      </c>
    </row>
    <row r="22" spans="1:10" ht="15.75" x14ac:dyDescent="0.25">
      <c r="A22" s="196">
        <v>215</v>
      </c>
      <c r="B22" s="97"/>
      <c r="C22" s="100" t="s">
        <v>158</v>
      </c>
      <c r="D22" s="100"/>
      <c r="E22" s="109">
        <v>110</v>
      </c>
      <c r="F22" s="98"/>
      <c r="G22" s="104"/>
      <c r="H22" s="100"/>
      <c r="I22" s="252">
        <f>SUM('Bank Account'!T171)</f>
        <v>86</v>
      </c>
      <c r="J22" s="215">
        <f t="shared" si="1"/>
        <v>0.78181818181818186</v>
      </c>
    </row>
    <row r="23" spans="1:10" ht="15.75" x14ac:dyDescent="0.25">
      <c r="A23" s="195">
        <v>250.5</v>
      </c>
      <c r="B23" s="97"/>
      <c r="C23" s="113" t="s">
        <v>52</v>
      </c>
      <c r="D23" s="100"/>
      <c r="E23" s="112">
        <v>270</v>
      </c>
      <c r="F23" s="111"/>
      <c r="G23" s="104"/>
      <c r="H23" s="100"/>
      <c r="I23" s="252">
        <f>SUM('Bank Account'!U171)</f>
        <v>273</v>
      </c>
      <c r="J23" s="215">
        <f t="shared" si="1"/>
        <v>1.0111111111111111</v>
      </c>
    </row>
    <row r="24" spans="1:10" ht="15.75" x14ac:dyDescent="0.25">
      <c r="A24" s="195">
        <v>49.99</v>
      </c>
      <c r="B24" s="97"/>
      <c r="C24" s="113" t="s">
        <v>168</v>
      </c>
      <c r="D24" s="100"/>
      <c r="E24" s="112">
        <v>85</v>
      </c>
      <c r="F24" s="111"/>
      <c r="G24" s="104"/>
      <c r="H24" s="100"/>
      <c r="I24" s="252">
        <f>SUM('Bank Account'!V171)</f>
        <v>0</v>
      </c>
      <c r="J24" s="215">
        <f t="shared" si="1"/>
        <v>0</v>
      </c>
    </row>
    <row r="25" spans="1:10" s="347" customFormat="1" ht="31.5" x14ac:dyDescent="0.25">
      <c r="A25" s="398">
        <v>222.83</v>
      </c>
      <c r="B25" s="399"/>
      <c r="C25" s="400" t="s">
        <v>18</v>
      </c>
      <c r="D25" s="343"/>
      <c r="E25" s="401">
        <v>350</v>
      </c>
      <c r="F25" s="402"/>
      <c r="G25" s="403" t="s">
        <v>594</v>
      </c>
      <c r="H25" s="343"/>
      <c r="I25" s="404">
        <f>SUM('Bank Account'!W171)</f>
        <v>685.92</v>
      </c>
      <c r="J25" s="215">
        <f t="shared" si="1"/>
        <v>1.9597714285714285</v>
      </c>
    </row>
    <row r="26" spans="1:10" ht="15.75" x14ac:dyDescent="0.25">
      <c r="A26" s="196">
        <v>118.03</v>
      </c>
      <c r="B26" s="97"/>
      <c r="C26" s="100" t="s">
        <v>160</v>
      </c>
      <c r="D26" s="100"/>
      <c r="E26" s="109">
        <v>125</v>
      </c>
      <c r="F26" s="98"/>
      <c r="G26" s="104"/>
      <c r="H26" s="100"/>
      <c r="I26" s="252">
        <f>SUM('Bank Account'!X171)</f>
        <v>513.64</v>
      </c>
      <c r="J26" s="215">
        <f t="shared" si="1"/>
        <v>4.1091199999999999</v>
      </c>
    </row>
    <row r="27" spans="1:10" ht="15.75" x14ac:dyDescent="0.25">
      <c r="A27" s="196">
        <v>61.94</v>
      </c>
      <c r="B27" s="97"/>
      <c r="C27" s="100" t="s">
        <v>161</v>
      </c>
      <c r="D27" s="100"/>
      <c r="E27" s="109">
        <v>70</v>
      </c>
      <c r="F27" s="98"/>
      <c r="G27" s="104"/>
      <c r="H27" s="100"/>
      <c r="I27" s="252">
        <f>SUM('Bank Account'!Y171)</f>
        <v>61.94</v>
      </c>
      <c r="J27" s="215">
        <f t="shared" si="1"/>
        <v>0.88485714285714279</v>
      </c>
    </row>
    <row r="28" spans="1:10" ht="15.75" x14ac:dyDescent="0.25">
      <c r="A28" s="196">
        <v>92</v>
      </c>
      <c r="B28" s="97"/>
      <c r="C28" s="100" t="s">
        <v>162</v>
      </c>
      <c r="D28" s="100"/>
      <c r="E28" s="109">
        <v>200</v>
      </c>
      <c r="F28" s="98"/>
      <c r="G28" s="141"/>
      <c r="H28" s="100"/>
      <c r="I28" s="252">
        <f>SUM('Bank Account'!Z171)</f>
        <v>92</v>
      </c>
      <c r="J28" s="215">
        <f t="shared" si="1"/>
        <v>0.46</v>
      </c>
    </row>
    <row r="29" spans="1:10" ht="15.75" x14ac:dyDescent="0.25">
      <c r="A29" s="196">
        <v>70</v>
      </c>
      <c r="B29" s="97"/>
      <c r="C29" s="100" t="s">
        <v>73</v>
      </c>
      <c r="D29" s="100"/>
      <c r="E29" s="109">
        <v>75</v>
      </c>
      <c r="F29" s="98"/>
      <c r="G29" s="104"/>
      <c r="H29" s="100"/>
      <c r="I29" s="252">
        <f>SUM('Bank Account'!AA171)</f>
        <v>75</v>
      </c>
      <c r="J29" s="215">
        <f t="shared" si="1"/>
        <v>1</v>
      </c>
    </row>
    <row r="30" spans="1:10" ht="15.75" x14ac:dyDescent="0.25">
      <c r="A30" s="196">
        <v>0</v>
      </c>
      <c r="B30" s="97"/>
      <c r="C30" s="100" t="s">
        <v>72</v>
      </c>
      <c r="D30" s="100"/>
      <c r="E30" s="110">
        <v>210</v>
      </c>
      <c r="F30" s="98"/>
      <c r="G30" s="104"/>
      <c r="H30" s="100"/>
      <c r="I30" s="252">
        <f>SUM('Bank Account'!AB171)</f>
        <v>210</v>
      </c>
      <c r="J30" s="215">
        <f t="shared" si="1"/>
        <v>1</v>
      </c>
    </row>
    <row r="31" spans="1:10" ht="15.75" x14ac:dyDescent="0.25">
      <c r="A31" s="196">
        <v>7307.65</v>
      </c>
      <c r="B31" s="97"/>
      <c r="C31" s="100" t="s">
        <v>163</v>
      </c>
      <c r="D31" s="100"/>
      <c r="E31" s="109">
        <v>100</v>
      </c>
      <c r="F31" s="98"/>
      <c r="G31" s="104" t="s">
        <v>397</v>
      </c>
      <c r="H31" s="100"/>
      <c r="I31" s="252">
        <f>SUM('Bank Account'!AC171)</f>
        <v>1916.83</v>
      </c>
      <c r="J31" s="215">
        <f t="shared" si="1"/>
        <v>19.168299999999999</v>
      </c>
    </row>
    <row r="32" spans="1:10" ht="15.75" x14ac:dyDescent="0.25">
      <c r="A32" s="196">
        <v>0</v>
      </c>
      <c r="B32" s="97"/>
      <c r="C32" s="100" t="s">
        <v>165</v>
      </c>
      <c r="D32" s="100"/>
      <c r="E32" s="109">
        <v>100</v>
      </c>
      <c r="F32" s="98"/>
      <c r="G32" s="104"/>
      <c r="H32" s="100"/>
      <c r="I32" s="252">
        <f>SUM('Bank Account'!AD171)</f>
        <v>0</v>
      </c>
      <c r="J32" s="215">
        <f t="shared" si="1"/>
        <v>0</v>
      </c>
    </row>
    <row r="33" spans="1:10" ht="15.75" x14ac:dyDescent="0.25">
      <c r="A33" s="196">
        <v>0</v>
      </c>
      <c r="B33" s="97"/>
      <c r="C33" s="100" t="s">
        <v>145</v>
      </c>
      <c r="D33" s="100"/>
      <c r="E33" s="109">
        <v>500</v>
      </c>
      <c r="F33" s="98"/>
      <c r="G33" s="104"/>
      <c r="H33" s="100"/>
      <c r="I33" s="252">
        <f>SUM('Bank Account'!AE171)</f>
        <v>0</v>
      </c>
      <c r="J33" s="215">
        <f t="shared" si="1"/>
        <v>0</v>
      </c>
    </row>
    <row r="34" spans="1:10" ht="15.75" x14ac:dyDescent="0.25">
      <c r="A34" s="196">
        <v>129</v>
      </c>
      <c r="B34" s="97"/>
      <c r="C34" s="100" t="s">
        <v>167</v>
      </c>
      <c r="D34" s="100"/>
      <c r="E34" s="109">
        <v>400</v>
      </c>
      <c r="F34" s="98"/>
      <c r="G34" s="104" t="s">
        <v>288</v>
      </c>
      <c r="H34" s="100"/>
      <c r="I34" s="252">
        <f>SUM('Bank Account'!AF171)</f>
        <v>704.67</v>
      </c>
      <c r="J34" s="215">
        <f t="shared" si="1"/>
        <v>1.7616749999999999</v>
      </c>
    </row>
    <row r="35" spans="1:10" ht="15.75" x14ac:dyDescent="0.25">
      <c r="A35" s="196">
        <v>684.96</v>
      </c>
      <c r="B35" s="97"/>
      <c r="C35" s="100" t="s">
        <v>19</v>
      </c>
      <c r="D35" s="100"/>
      <c r="E35" s="109">
        <v>700</v>
      </c>
      <c r="F35" s="98"/>
      <c r="G35" s="104"/>
      <c r="H35" s="100"/>
      <c r="I35" s="252">
        <f>SUM('Bank Account'!AG171)</f>
        <v>783.26</v>
      </c>
      <c r="J35" s="215">
        <f t="shared" si="1"/>
        <v>1.1189428571428572</v>
      </c>
    </row>
    <row r="36" spans="1:10" ht="15.75" x14ac:dyDescent="0.25">
      <c r="A36" s="196">
        <v>0</v>
      </c>
      <c r="B36" s="97"/>
      <c r="C36" s="100" t="s">
        <v>71</v>
      </c>
      <c r="D36" s="100"/>
      <c r="E36" s="109">
        <v>500</v>
      </c>
      <c r="F36" s="98"/>
      <c r="G36" s="104"/>
      <c r="H36" s="100"/>
      <c r="I36" s="252">
        <f>SUM('Bank Account'!AH171)</f>
        <v>20</v>
      </c>
      <c r="J36" s="215">
        <f t="shared" si="1"/>
        <v>0.04</v>
      </c>
    </row>
    <row r="37" spans="1:10" ht="78.75" x14ac:dyDescent="0.25">
      <c r="A37" s="196"/>
      <c r="B37" s="97"/>
      <c r="C37" s="343" t="s">
        <v>501</v>
      </c>
      <c r="D37" s="343"/>
      <c r="E37" s="344">
        <v>0</v>
      </c>
      <c r="F37" s="98"/>
      <c r="G37" s="340" t="s">
        <v>601</v>
      </c>
      <c r="H37" s="100"/>
      <c r="I37" s="342">
        <f>SUM(Reserves!M15)</f>
        <v>2112.77</v>
      </c>
      <c r="J37" s="215" t="e">
        <f t="shared" si="1"/>
        <v>#DIV/0!</v>
      </c>
    </row>
    <row r="38" spans="1:10" ht="15.75" x14ac:dyDescent="0.25">
      <c r="A38" s="196">
        <v>0</v>
      </c>
      <c r="B38" s="97"/>
      <c r="C38" s="100" t="s">
        <v>94</v>
      </c>
      <c r="D38" s="100"/>
      <c r="E38" s="109">
        <v>150</v>
      </c>
      <c r="F38" s="98"/>
      <c r="G38" s="104"/>
      <c r="H38" s="100"/>
      <c r="I38" s="252">
        <f>SUM('Bank Account'!AI171)</f>
        <v>22.2</v>
      </c>
      <c r="J38" s="215">
        <f t="shared" si="1"/>
        <v>0.14799999999999999</v>
      </c>
    </row>
    <row r="39" spans="1:10" ht="15.75" x14ac:dyDescent="0.25">
      <c r="A39" s="196">
        <v>200</v>
      </c>
      <c r="B39" s="97"/>
      <c r="C39" s="100" t="s">
        <v>121</v>
      </c>
      <c r="D39" s="100"/>
      <c r="E39" s="109">
        <v>500</v>
      </c>
      <c r="F39" s="98"/>
      <c r="G39" s="104"/>
      <c r="H39" s="100"/>
      <c r="I39" s="252">
        <f>SUM('Bank Account'!AJ171)</f>
        <v>239.99</v>
      </c>
      <c r="J39" s="215">
        <f t="shared" si="1"/>
        <v>0.47998000000000002</v>
      </c>
    </row>
    <row r="40" spans="1:10" ht="15.75" x14ac:dyDescent="0.25">
      <c r="A40" s="197">
        <f>SUM(A17:A39)</f>
        <v>15758.379999999997</v>
      </c>
      <c r="B40" s="92"/>
      <c r="C40" s="95" t="s">
        <v>70</v>
      </c>
      <c r="D40" s="95"/>
      <c r="E40" s="108">
        <f>SUM(E17:E39)</f>
        <v>11256</v>
      </c>
      <c r="F40" s="107"/>
      <c r="G40" s="106"/>
      <c r="H40" s="92"/>
      <c r="I40" s="150">
        <f>SUM(I17:I39)</f>
        <v>12574.110000000002</v>
      </c>
      <c r="J40" s="215">
        <f t="shared" si="1"/>
        <v>1.1171028784648189</v>
      </c>
    </row>
    <row r="41" spans="1:10" ht="15.75" x14ac:dyDescent="0.25">
      <c r="A41" s="198"/>
      <c r="B41" s="97"/>
      <c r="C41" s="105"/>
      <c r="D41" s="100"/>
      <c r="E41" s="102"/>
      <c r="F41" s="98"/>
      <c r="G41" s="104"/>
      <c r="H41" s="97"/>
      <c r="I41" s="103"/>
      <c r="J41" s="215" t="e">
        <f t="shared" si="1"/>
        <v>#DIV/0!</v>
      </c>
    </row>
    <row r="42" spans="1:10" ht="15.75" x14ac:dyDescent="0.25">
      <c r="A42" s="189">
        <f>A14</f>
        <v>14064.650000000001</v>
      </c>
      <c r="B42" s="97"/>
      <c r="C42" s="100" t="s">
        <v>69</v>
      </c>
      <c r="D42" s="100"/>
      <c r="E42" s="102">
        <f>E14</f>
        <v>13310</v>
      </c>
      <c r="F42" s="98"/>
      <c r="G42" s="93" t="s">
        <v>68</v>
      </c>
      <c r="H42" s="97"/>
      <c r="I42" s="101">
        <f>I14</f>
        <v>18438.580000000002</v>
      </c>
      <c r="J42" s="215"/>
    </row>
    <row r="43" spans="1:10" ht="15.75" x14ac:dyDescent="0.25">
      <c r="A43" s="199">
        <f>-A40</f>
        <v>-15758.379999999997</v>
      </c>
      <c r="B43" s="97"/>
      <c r="C43" s="100" t="s">
        <v>67</v>
      </c>
      <c r="D43" s="100"/>
      <c r="E43" s="99">
        <f>-E40</f>
        <v>-11256</v>
      </c>
      <c r="F43" s="98"/>
      <c r="G43" s="93" t="s">
        <v>66</v>
      </c>
      <c r="H43" s="97"/>
      <c r="I43" s="96">
        <f>-I40</f>
        <v>-12574.110000000002</v>
      </c>
      <c r="J43" s="215"/>
    </row>
    <row r="44" spans="1:10" ht="16.5" thickBot="1" x14ac:dyDescent="0.3">
      <c r="A44" s="200">
        <f>SUM(A42:A43)</f>
        <v>-1693.7299999999959</v>
      </c>
      <c r="B44" s="92"/>
      <c r="C44" s="95" t="s">
        <v>65</v>
      </c>
      <c r="D44" s="95"/>
      <c r="E44" s="174">
        <f>SUM(E42:E43)</f>
        <v>2054</v>
      </c>
      <c r="F44" s="94"/>
      <c r="G44" s="93" t="s">
        <v>64</v>
      </c>
      <c r="H44" s="92"/>
      <c r="I44" s="91">
        <f>SUM(I42:I43)</f>
        <v>5864.4699999999993</v>
      </c>
      <c r="J44" s="215"/>
    </row>
    <row r="45" spans="1:10" ht="9" customHeight="1" thickTop="1" thickBot="1" x14ac:dyDescent="0.3">
      <c r="A45" s="201"/>
      <c r="B45" s="87"/>
      <c r="C45" s="87"/>
      <c r="D45" s="87"/>
      <c r="E45" s="90"/>
      <c r="F45" s="89"/>
      <c r="G45" s="88"/>
      <c r="H45" s="87"/>
      <c r="I45" s="86"/>
      <c r="J45" s="216"/>
    </row>
    <row r="46" spans="1:10" ht="15.75" x14ac:dyDescent="0.25">
      <c r="A46" s="202">
        <v>45382</v>
      </c>
      <c r="B46" s="97"/>
      <c r="C46" s="97"/>
      <c r="D46" s="97"/>
      <c r="E46" s="98"/>
      <c r="F46" s="153"/>
      <c r="G46" s="154" t="s">
        <v>63</v>
      </c>
      <c r="H46" s="97"/>
      <c r="I46" s="152">
        <f>SUM('Bank Recon'!B8)</f>
        <v>45646</v>
      </c>
      <c r="J46" s="212"/>
    </row>
    <row r="47" spans="1:10" ht="15.75" x14ac:dyDescent="0.25">
      <c r="A47" s="203">
        <f>SUM('Bank Recon'!D27)</f>
        <v>25912.52</v>
      </c>
      <c r="B47" s="97"/>
      <c r="C47" s="97"/>
      <c r="D47" s="97"/>
      <c r="E47" s="98"/>
      <c r="F47" s="153"/>
      <c r="G47" s="100" t="s">
        <v>32</v>
      </c>
      <c r="H47" s="97"/>
      <c r="I47" s="155">
        <f>SUM('Bank Recon'!C10)</f>
        <v>7038.33</v>
      </c>
      <c r="J47" s="212"/>
    </row>
    <row r="48" spans="1:10" ht="15.75" x14ac:dyDescent="0.25">
      <c r="A48" s="204"/>
      <c r="B48" s="97"/>
      <c r="C48" s="97"/>
      <c r="D48" s="97"/>
      <c r="E48" s="98"/>
      <c r="F48" s="153"/>
      <c r="G48" s="100" t="s">
        <v>131</v>
      </c>
      <c r="H48" s="97"/>
      <c r="I48" s="173">
        <f>SUM('Bank Recon'!C11)-'2024-25 Running'!I49</f>
        <v>6063.3600000000006</v>
      </c>
      <c r="J48" s="419">
        <f>SUM(I48:I49)</f>
        <v>16959.68</v>
      </c>
    </row>
    <row r="49" spans="1:10" ht="15.75" x14ac:dyDescent="0.25">
      <c r="A49" s="204"/>
      <c r="B49" s="97"/>
      <c r="C49" s="97"/>
      <c r="D49" s="97"/>
      <c r="E49" s="98"/>
      <c r="F49" s="153"/>
      <c r="G49" s="100" t="s">
        <v>429</v>
      </c>
      <c r="H49" s="97"/>
      <c r="I49" s="173">
        <f>SUM('Ear Marked Funds'!C22)</f>
        <v>10896.32</v>
      </c>
      <c r="J49" s="420"/>
    </row>
    <row r="50" spans="1:10" ht="15.75" x14ac:dyDescent="0.25">
      <c r="A50" s="205">
        <v>0</v>
      </c>
      <c r="B50" s="97"/>
      <c r="C50" s="97" t="s">
        <v>62</v>
      </c>
      <c r="D50" s="97"/>
      <c r="E50" s="98"/>
      <c r="F50" s="153"/>
      <c r="G50" s="100" t="s">
        <v>61</v>
      </c>
      <c r="H50" s="97"/>
      <c r="I50" s="156">
        <v>0</v>
      </c>
      <c r="J50" s="212"/>
    </row>
    <row r="51" spans="1:10" s="85" customFormat="1" ht="15.75" x14ac:dyDescent="0.25">
      <c r="A51" s="206">
        <v>0</v>
      </c>
      <c r="B51" s="158"/>
      <c r="C51" s="158" t="s">
        <v>60</v>
      </c>
      <c r="D51" s="158"/>
      <c r="E51" s="159"/>
      <c r="F51" s="160"/>
      <c r="G51" s="161" t="s">
        <v>59</v>
      </c>
      <c r="H51" s="158"/>
      <c r="I51" s="157">
        <v>0</v>
      </c>
      <c r="J51" s="217"/>
    </row>
    <row r="52" spans="1:10" ht="15.75" customHeight="1" thickBot="1" x14ac:dyDescent="0.3">
      <c r="A52" s="207">
        <f>SUM(A47:A51)</f>
        <v>25912.52</v>
      </c>
      <c r="B52" s="97"/>
      <c r="C52" s="97" t="s">
        <v>58</v>
      </c>
      <c r="D52" s="97"/>
      <c r="E52" s="98"/>
      <c r="F52" s="153"/>
      <c r="G52" s="100" t="s">
        <v>57</v>
      </c>
      <c r="H52" s="97"/>
      <c r="I52" s="162">
        <f>SUM(I47:I51)</f>
        <v>23998.010000000002</v>
      </c>
      <c r="J52" s="212"/>
    </row>
    <row r="53" spans="1:10" ht="16.5" thickTop="1" x14ac:dyDescent="0.25">
      <c r="A53" s="208"/>
      <c r="B53" s="97"/>
      <c r="C53" s="97"/>
      <c r="D53" s="97"/>
      <c r="E53" s="98"/>
      <c r="F53" s="153"/>
      <c r="G53" s="100"/>
      <c r="H53" s="97"/>
      <c r="I53" s="163"/>
      <c r="J53" s="212"/>
    </row>
    <row r="54" spans="1:10" ht="15.75" x14ac:dyDescent="0.25">
      <c r="A54" s="208" t="s">
        <v>55</v>
      </c>
      <c r="B54" s="97"/>
      <c r="C54" s="97" t="s">
        <v>56</v>
      </c>
      <c r="D54" s="97"/>
      <c r="E54" s="98"/>
      <c r="F54" s="153"/>
      <c r="G54" s="95" t="s">
        <v>56</v>
      </c>
      <c r="H54" s="97"/>
      <c r="I54" s="164" t="s">
        <v>188</v>
      </c>
      <c r="J54" s="212"/>
    </row>
    <row r="55" spans="1:10" ht="15.75" x14ac:dyDescent="0.25">
      <c r="A55" s="209">
        <v>200</v>
      </c>
      <c r="B55" s="97"/>
      <c r="C55" s="97" t="s">
        <v>84</v>
      </c>
      <c r="D55" s="97"/>
      <c r="E55" s="98"/>
      <c r="F55" s="153"/>
      <c r="G55" s="97"/>
      <c r="H55" s="97"/>
      <c r="I55" s="165"/>
      <c r="J55" s="212"/>
    </row>
    <row r="56" spans="1:10" ht="15.75" x14ac:dyDescent="0.25">
      <c r="A56" s="210"/>
      <c r="B56" s="97"/>
      <c r="C56" s="97"/>
      <c r="D56" s="97"/>
      <c r="E56" s="98"/>
      <c r="F56" s="153"/>
      <c r="G56" s="100"/>
      <c r="H56" s="97"/>
      <c r="I56" s="253"/>
      <c r="J56" s="212"/>
    </row>
    <row r="57" spans="1:10" ht="15.75" x14ac:dyDescent="0.25">
      <c r="A57" s="211">
        <f>SUM(A55:A56)</f>
        <v>200</v>
      </c>
      <c r="B57" s="178"/>
      <c r="C57" s="179"/>
      <c r="D57" s="178"/>
      <c r="E57" s="180"/>
      <c r="F57" s="181"/>
      <c r="G57" s="182" t="s">
        <v>54</v>
      </c>
      <c r="H57" s="178"/>
      <c r="I57" s="177">
        <f>SUM(I55:I56)</f>
        <v>0</v>
      </c>
      <c r="J57" s="218"/>
    </row>
    <row r="58" spans="1:10" x14ac:dyDescent="0.25">
      <c r="A58" s="219"/>
      <c r="B58" s="219"/>
      <c r="C58" s="219"/>
      <c r="D58" s="219"/>
      <c r="E58" s="219"/>
      <c r="F58" s="219"/>
      <c r="G58" s="219"/>
      <c r="H58" s="219"/>
      <c r="I58" s="219"/>
    </row>
    <row r="59" spans="1:10" x14ac:dyDescent="0.25">
      <c r="A59" s="219"/>
      <c r="B59" s="219"/>
      <c r="C59" s="219"/>
      <c r="D59" s="219"/>
      <c r="E59" s="219"/>
      <c r="F59" s="219"/>
      <c r="G59" s="219"/>
      <c r="H59" s="219"/>
      <c r="I59" s="219"/>
    </row>
  </sheetData>
  <mergeCells count="3">
    <mergeCell ref="J3:J5"/>
    <mergeCell ref="A1:J1"/>
    <mergeCell ref="J48:J49"/>
  </mergeCells>
  <conditionalFormatting sqref="J6:J13">
    <cfRule type="cellIs" dxfId="34" priority="4" operator="between">
      <formula>0</formula>
      <formula>0.74</formula>
    </cfRule>
    <cfRule type="cellIs" dxfId="33" priority="5" operator="between">
      <formula>0.75</formula>
      <formula>0.99</formula>
    </cfRule>
    <cfRule type="cellIs" dxfId="32" priority="6" operator="greaterThan">
      <formula>1</formula>
    </cfRule>
  </conditionalFormatting>
  <conditionalFormatting sqref="J17:J41">
    <cfRule type="cellIs" dxfId="31" priority="1" operator="between">
      <formula>0</formula>
      <formula>0.74</formula>
    </cfRule>
    <cfRule type="cellIs" dxfId="30" priority="2" operator="between">
      <formula>0.75</formula>
      <formula>0.99</formula>
    </cfRule>
    <cfRule type="cellIs" dxfId="29" priority="3" operator="greaterThan">
      <formula>1</formula>
    </cfRule>
  </conditionalFormatting>
  <pageMargins left="0.39" right="0.39" top="0.75" bottom="0.49" header="0.3" footer="0.3"/>
  <pageSetup paperSize="9" scale="89"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84CC6-6A5A-4652-A474-F1F1150823B2}">
  <sheetPr codeName="Sheet11"/>
  <dimension ref="A1:J35"/>
  <sheetViews>
    <sheetView tabSelected="1" topLeftCell="A3" zoomScale="90" zoomScaleNormal="90" workbookViewId="0">
      <selection activeCell="H26" sqref="H26"/>
    </sheetView>
  </sheetViews>
  <sheetFormatPr defaultRowHeight="15" x14ac:dyDescent="0.25"/>
  <cols>
    <col min="1" max="1" width="20.85546875" customWidth="1"/>
    <col min="2" max="2" width="29.42578125" customWidth="1"/>
    <col min="3" max="5" width="16.85546875" customWidth="1"/>
    <col min="6" max="6" width="14.28515625" customWidth="1"/>
    <col min="7" max="7" width="24.42578125" customWidth="1"/>
    <col min="8" max="9" width="17" customWidth="1"/>
    <col min="10" max="10" width="15.7109375" customWidth="1"/>
  </cols>
  <sheetData>
    <row r="1" spans="1:10" ht="45" customHeight="1" x14ac:dyDescent="0.25">
      <c r="A1" s="458" t="s">
        <v>697</v>
      </c>
      <c r="B1" s="458"/>
      <c r="C1" s="458"/>
      <c r="D1" s="458"/>
      <c r="E1" s="458"/>
      <c r="F1" s="458"/>
    </row>
    <row r="2" spans="1:10" ht="45" customHeight="1" x14ac:dyDescent="0.25">
      <c r="A2" s="465"/>
      <c r="B2" s="465"/>
      <c r="C2" s="466" t="s">
        <v>711</v>
      </c>
      <c r="D2" s="466" t="s">
        <v>712</v>
      </c>
      <c r="E2" s="466" t="s">
        <v>710</v>
      </c>
      <c r="F2" s="459"/>
      <c r="H2" s="466" t="s">
        <v>711</v>
      </c>
      <c r="I2" s="466" t="s">
        <v>712</v>
      </c>
      <c r="J2" s="466" t="s">
        <v>710</v>
      </c>
    </row>
    <row r="3" spans="1:10" ht="18.75" x14ac:dyDescent="0.3">
      <c r="A3" s="463" t="s">
        <v>108</v>
      </c>
      <c r="B3" s="463"/>
      <c r="C3" s="464">
        <f>SUM(C35,C4)</f>
        <v>26872</v>
      </c>
      <c r="D3" s="412">
        <f>SUM(D4,D35)</f>
        <v>26083</v>
      </c>
      <c r="E3" s="467">
        <f>(C3-D3)/D3</f>
        <v>3.0249587854157881E-2</v>
      </c>
      <c r="G3" s="410" t="s">
        <v>110</v>
      </c>
      <c r="H3" s="411">
        <f>SUM(H4,H17)</f>
        <v>33046.21</v>
      </c>
      <c r="I3" s="472">
        <f>SUM(I4,I17)</f>
        <v>28610.5</v>
      </c>
      <c r="J3" s="468">
        <f>(H3-I3)/I3</f>
        <v>0.15503783575959873</v>
      </c>
    </row>
    <row r="4" spans="1:10" s="347" customFormat="1" ht="16.5" customHeight="1" x14ac:dyDescent="0.25">
      <c r="A4" s="457"/>
      <c r="B4" s="233" t="s">
        <v>696</v>
      </c>
      <c r="C4" s="234">
        <f>SUM(C5:C29)</f>
        <v>16172</v>
      </c>
      <c r="D4" s="234">
        <f>SUM(D5:D29)</f>
        <v>12933</v>
      </c>
      <c r="E4" s="460">
        <f t="shared" ref="E4:E35" si="0">(C4-D4)/D4</f>
        <v>0.25044459908760536</v>
      </c>
      <c r="G4" s="408" t="s">
        <v>696</v>
      </c>
      <c r="H4" s="409">
        <f>SUM(H5:H10)</f>
        <v>20340</v>
      </c>
      <c r="I4" s="409">
        <f>SUM(I5:I12)</f>
        <v>14810</v>
      </c>
      <c r="J4" s="469">
        <f t="shared" ref="J4:J17" si="1">(H4-I4)/I4</f>
        <v>0.37339635381498987</v>
      </c>
    </row>
    <row r="5" spans="1:10" s="347" customFormat="1" ht="15.75" customHeight="1" x14ac:dyDescent="0.25">
      <c r="A5" s="452" t="s">
        <v>698</v>
      </c>
      <c r="B5" s="292" t="s">
        <v>17</v>
      </c>
      <c r="C5" s="250">
        <v>7860</v>
      </c>
      <c r="D5" s="455">
        <v>7376</v>
      </c>
      <c r="E5" s="461">
        <f t="shared" si="0"/>
        <v>6.561822125813449E-2</v>
      </c>
      <c r="G5" s="292" t="s">
        <v>6</v>
      </c>
      <c r="H5" s="405">
        <v>20000</v>
      </c>
      <c r="I5" s="405">
        <v>14000</v>
      </c>
      <c r="J5" s="471">
        <f t="shared" si="1"/>
        <v>0.42857142857142855</v>
      </c>
    </row>
    <row r="6" spans="1:10" s="347" customFormat="1" ht="15.75" customHeight="1" x14ac:dyDescent="0.25">
      <c r="A6" s="452"/>
      <c r="B6" s="292" t="s">
        <v>181</v>
      </c>
      <c r="C6" s="250">
        <v>312</v>
      </c>
      <c r="D6" s="455">
        <v>312</v>
      </c>
      <c r="E6" s="461">
        <f t="shared" si="0"/>
        <v>0</v>
      </c>
      <c r="G6" s="292" t="s">
        <v>179</v>
      </c>
      <c r="H6" s="405">
        <v>20</v>
      </c>
      <c r="I6" s="405">
        <v>20</v>
      </c>
      <c r="J6" s="471">
        <f t="shared" si="1"/>
        <v>0</v>
      </c>
    </row>
    <row r="7" spans="1:10" s="347" customFormat="1" ht="15.75" customHeight="1" x14ac:dyDescent="0.25">
      <c r="A7" s="452"/>
      <c r="B7" s="292" t="s">
        <v>182</v>
      </c>
      <c r="C7" s="250">
        <v>300</v>
      </c>
      <c r="D7" s="455">
        <v>220</v>
      </c>
      <c r="E7" s="461">
        <f t="shared" si="0"/>
        <v>0.36363636363636365</v>
      </c>
      <c r="G7" s="292" t="s">
        <v>7</v>
      </c>
      <c r="H7" s="405">
        <v>140</v>
      </c>
      <c r="I7" s="405">
        <v>140</v>
      </c>
      <c r="J7" s="471">
        <f t="shared" si="1"/>
        <v>0</v>
      </c>
    </row>
    <row r="8" spans="1:10" s="347" customFormat="1" ht="15.75" customHeight="1" x14ac:dyDescent="0.25">
      <c r="A8" s="452" t="s">
        <v>699</v>
      </c>
      <c r="B8" s="292" t="s">
        <v>73</v>
      </c>
      <c r="C8" s="250">
        <v>80</v>
      </c>
      <c r="D8" s="456">
        <v>75</v>
      </c>
      <c r="E8" s="461">
        <f t="shared" si="0"/>
        <v>6.6666666666666666E-2</v>
      </c>
      <c r="G8" s="292" t="s">
        <v>709</v>
      </c>
      <c r="H8" s="405">
        <v>180</v>
      </c>
      <c r="I8" s="405">
        <v>0</v>
      </c>
      <c r="J8" s="471" t="e">
        <f t="shared" si="1"/>
        <v>#DIV/0!</v>
      </c>
    </row>
    <row r="9" spans="1:10" s="347" customFormat="1" ht="15.75" customHeight="1" x14ac:dyDescent="0.25">
      <c r="A9" s="452"/>
      <c r="B9" s="292" t="s">
        <v>72</v>
      </c>
      <c r="C9" s="250">
        <v>210</v>
      </c>
      <c r="D9" s="455">
        <v>210</v>
      </c>
      <c r="E9" s="461">
        <f t="shared" si="0"/>
        <v>0</v>
      </c>
      <c r="G9" s="292" t="s">
        <v>133</v>
      </c>
      <c r="H9" s="405">
        <v>0</v>
      </c>
      <c r="I9" s="405">
        <v>0</v>
      </c>
      <c r="J9" s="471" t="e">
        <f t="shared" si="1"/>
        <v>#DIV/0!</v>
      </c>
    </row>
    <row r="10" spans="1:10" s="347" customFormat="1" ht="15.75" customHeight="1" x14ac:dyDescent="0.25">
      <c r="A10" s="452" t="s">
        <v>18</v>
      </c>
      <c r="B10" s="292" t="s">
        <v>704</v>
      </c>
      <c r="C10" s="455">
        <v>520</v>
      </c>
      <c r="D10" s="455">
        <v>400</v>
      </c>
      <c r="E10" s="461">
        <f t="shared" si="0"/>
        <v>0.3</v>
      </c>
      <c r="G10" s="292" t="s">
        <v>145</v>
      </c>
      <c r="H10" s="405">
        <v>0</v>
      </c>
      <c r="I10" s="405">
        <v>500</v>
      </c>
      <c r="J10" s="471">
        <f t="shared" si="1"/>
        <v>-1</v>
      </c>
    </row>
    <row r="11" spans="1:10" s="347" customFormat="1" ht="15.75" customHeight="1" x14ac:dyDescent="0.25">
      <c r="A11" s="452"/>
      <c r="B11" s="292" t="s">
        <v>616</v>
      </c>
      <c r="C11" s="455">
        <v>490</v>
      </c>
      <c r="D11" s="455">
        <v>150</v>
      </c>
      <c r="E11" s="461">
        <f t="shared" si="0"/>
        <v>2.2666666666666666</v>
      </c>
      <c r="G11" s="292" t="s">
        <v>119</v>
      </c>
      <c r="H11" s="405">
        <v>0</v>
      </c>
      <c r="I11" s="405">
        <v>0</v>
      </c>
      <c r="J11" s="471" t="e">
        <f t="shared" si="1"/>
        <v>#DIV/0!</v>
      </c>
    </row>
    <row r="12" spans="1:10" s="347" customFormat="1" ht="15.75" customHeight="1" x14ac:dyDescent="0.25">
      <c r="A12" s="452"/>
      <c r="B12" s="292" t="s">
        <v>164</v>
      </c>
      <c r="C12" s="455">
        <v>400</v>
      </c>
      <c r="D12" s="455">
        <v>400</v>
      </c>
      <c r="E12" s="461">
        <f t="shared" si="0"/>
        <v>0</v>
      </c>
      <c r="G12" s="292" t="s">
        <v>53</v>
      </c>
      <c r="H12" s="405">
        <v>0</v>
      </c>
      <c r="I12" s="405">
        <v>150</v>
      </c>
      <c r="J12" s="471">
        <f t="shared" si="1"/>
        <v>-1</v>
      </c>
    </row>
    <row r="13" spans="1:10" s="347" customFormat="1" ht="15.75" customHeight="1" x14ac:dyDescent="0.25">
      <c r="A13" s="452" t="s">
        <v>700</v>
      </c>
      <c r="B13" s="292" t="s">
        <v>52</v>
      </c>
      <c r="C13" s="455">
        <v>350</v>
      </c>
      <c r="D13" s="455">
        <v>300</v>
      </c>
      <c r="E13" s="461">
        <f t="shared" si="0"/>
        <v>0.16666666666666666</v>
      </c>
      <c r="G13" s="292" t="s">
        <v>146</v>
      </c>
      <c r="H13" s="405">
        <v>1500</v>
      </c>
      <c r="I13" s="405">
        <v>2578.5</v>
      </c>
      <c r="J13" s="471">
        <f t="shared" si="1"/>
        <v>-0.41826643397324026</v>
      </c>
    </row>
    <row r="14" spans="1:10" s="347" customFormat="1" ht="15.75" customHeight="1" x14ac:dyDescent="0.25">
      <c r="A14" s="452"/>
      <c r="B14" s="292" t="s">
        <v>156</v>
      </c>
      <c r="C14" s="455">
        <v>170</v>
      </c>
      <c r="D14" s="455">
        <v>250</v>
      </c>
      <c r="E14" s="461">
        <f t="shared" si="0"/>
        <v>-0.32</v>
      </c>
      <c r="G14" s="292" t="s">
        <v>149</v>
      </c>
      <c r="H14" s="405">
        <v>7581.21</v>
      </c>
      <c r="I14" s="405">
        <v>7116</v>
      </c>
      <c r="J14" s="471">
        <f t="shared" si="1"/>
        <v>6.5375210792580102E-2</v>
      </c>
    </row>
    <row r="15" spans="1:10" s="347" customFormat="1" ht="15.75" customHeight="1" x14ac:dyDescent="0.25">
      <c r="A15" s="452"/>
      <c r="B15" s="292" t="s">
        <v>161</v>
      </c>
      <c r="C15" s="455">
        <v>80</v>
      </c>
      <c r="D15" s="455">
        <v>70</v>
      </c>
      <c r="E15" s="461">
        <f t="shared" si="0"/>
        <v>0.14285714285714285</v>
      </c>
      <c r="G15" s="292" t="s">
        <v>147</v>
      </c>
      <c r="H15" s="405">
        <v>125</v>
      </c>
      <c r="I15" s="405">
        <v>231</v>
      </c>
      <c r="J15" s="471">
        <f t="shared" si="1"/>
        <v>-0.45887445887445888</v>
      </c>
    </row>
    <row r="16" spans="1:10" s="347" customFormat="1" ht="15.75" customHeight="1" x14ac:dyDescent="0.25">
      <c r="A16" s="452"/>
      <c r="B16" s="292" t="s">
        <v>19</v>
      </c>
      <c r="C16" s="455">
        <v>1100</v>
      </c>
      <c r="D16" s="455">
        <v>850</v>
      </c>
      <c r="E16" s="461">
        <f t="shared" si="0"/>
        <v>0.29411764705882354</v>
      </c>
      <c r="G16" s="292" t="s">
        <v>180</v>
      </c>
      <c r="H16" s="405">
        <v>3500</v>
      </c>
      <c r="I16" s="405">
        <v>3875</v>
      </c>
      <c r="J16" s="471">
        <f t="shared" si="1"/>
        <v>-9.6774193548387094E-2</v>
      </c>
    </row>
    <row r="17" spans="1:10" x14ac:dyDescent="0.25">
      <c r="A17" s="452"/>
      <c r="B17" s="292" t="s">
        <v>162</v>
      </c>
      <c r="C17" s="455">
        <v>200</v>
      </c>
      <c r="D17" s="455">
        <v>200</v>
      </c>
      <c r="E17" s="461">
        <f t="shared" si="0"/>
        <v>0</v>
      </c>
      <c r="G17" s="408" t="s">
        <v>695</v>
      </c>
      <c r="H17" s="409">
        <f>SUM(H13:H16)</f>
        <v>12706.21</v>
      </c>
      <c r="I17" s="409">
        <f>SUM(I13:I16)</f>
        <v>13800.5</v>
      </c>
      <c r="J17" s="470">
        <f t="shared" si="1"/>
        <v>-7.9293503858555908E-2</v>
      </c>
    </row>
    <row r="18" spans="1:10" x14ac:dyDescent="0.25">
      <c r="A18" s="453" t="s">
        <v>701</v>
      </c>
      <c r="B18" s="292" t="s">
        <v>109</v>
      </c>
      <c r="C18" s="455">
        <v>100</v>
      </c>
      <c r="D18" s="455">
        <v>60</v>
      </c>
      <c r="E18" s="461">
        <f t="shared" si="0"/>
        <v>0.66666666666666663</v>
      </c>
    </row>
    <row r="19" spans="1:10" x14ac:dyDescent="0.25">
      <c r="A19" s="453"/>
      <c r="B19" s="292" t="s">
        <v>158</v>
      </c>
      <c r="C19" s="455">
        <v>600</v>
      </c>
      <c r="D19" s="455">
        <v>110</v>
      </c>
      <c r="E19" s="461">
        <f t="shared" si="0"/>
        <v>4.4545454545454541</v>
      </c>
    </row>
    <row r="20" spans="1:10" x14ac:dyDescent="0.25">
      <c r="A20" s="453"/>
      <c r="B20" s="292" t="s">
        <v>163</v>
      </c>
      <c r="C20" s="455">
        <v>500</v>
      </c>
      <c r="D20" s="455">
        <v>500</v>
      </c>
      <c r="E20" s="461">
        <f t="shared" si="0"/>
        <v>0</v>
      </c>
    </row>
    <row r="21" spans="1:10" x14ac:dyDescent="0.25">
      <c r="A21" s="453"/>
      <c r="B21" s="292" t="s">
        <v>705</v>
      </c>
      <c r="C21" s="455">
        <v>250</v>
      </c>
      <c r="D21" s="455">
        <v>0</v>
      </c>
      <c r="E21" s="461" t="e">
        <f t="shared" si="0"/>
        <v>#DIV/0!</v>
      </c>
    </row>
    <row r="22" spans="1:10" x14ac:dyDescent="0.25">
      <c r="A22" s="453"/>
      <c r="B22" s="292" t="s">
        <v>165</v>
      </c>
      <c r="C22" s="455">
        <v>100</v>
      </c>
      <c r="D22" s="455">
        <v>100</v>
      </c>
      <c r="E22" s="461">
        <f t="shared" si="0"/>
        <v>0</v>
      </c>
    </row>
    <row r="23" spans="1:10" x14ac:dyDescent="0.25">
      <c r="A23" s="453"/>
      <c r="B23" s="292" t="s">
        <v>145</v>
      </c>
      <c r="C23" s="455">
        <v>1500</v>
      </c>
      <c r="D23" s="455">
        <v>500</v>
      </c>
      <c r="E23" s="461">
        <f t="shared" si="0"/>
        <v>2</v>
      </c>
    </row>
    <row r="24" spans="1:10" x14ac:dyDescent="0.25">
      <c r="A24" s="453"/>
      <c r="B24" s="292" t="s">
        <v>127</v>
      </c>
      <c r="C24" s="455">
        <v>100</v>
      </c>
      <c r="D24" s="455">
        <v>100</v>
      </c>
      <c r="E24" s="461">
        <f t="shared" si="0"/>
        <v>0</v>
      </c>
    </row>
    <row r="25" spans="1:10" x14ac:dyDescent="0.25">
      <c r="A25" s="453"/>
      <c r="B25" s="292" t="s">
        <v>71</v>
      </c>
      <c r="C25" s="456">
        <v>0</v>
      </c>
      <c r="D25" s="456">
        <v>0</v>
      </c>
      <c r="E25" s="461" t="e">
        <f t="shared" si="0"/>
        <v>#DIV/0!</v>
      </c>
    </row>
    <row r="26" spans="1:10" x14ac:dyDescent="0.25">
      <c r="A26" s="453"/>
      <c r="B26" s="292" t="s">
        <v>617</v>
      </c>
      <c r="C26" s="455">
        <v>400</v>
      </c>
      <c r="D26" s="455">
        <v>150</v>
      </c>
      <c r="E26" s="461">
        <f t="shared" si="0"/>
        <v>1.6666666666666667</v>
      </c>
    </row>
    <row r="27" spans="1:10" x14ac:dyDescent="0.25">
      <c r="A27" s="452" t="s">
        <v>702</v>
      </c>
      <c r="B27" s="292" t="s">
        <v>706</v>
      </c>
      <c r="C27" s="455">
        <v>250</v>
      </c>
      <c r="D27" s="455">
        <v>250</v>
      </c>
      <c r="E27" s="461">
        <f t="shared" si="0"/>
        <v>0</v>
      </c>
    </row>
    <row r="28" spans="1:10" x14ac:dyDescent="0.25">
      <c r="A28" s="452"/>
      <c r="B28" s="292" t="s">
        <v>707</v>
      </c>
      <c r="C28" s="455">
        <v>250</v>
      </c>
      <c r="D28" s="455">
        <v>250</v>
      </c>
      <c r="E28" s="461">
        <f t="shared" si="0"/>
        <v>0</v>
      </c>
    </row>
    <row r="29" spans="1:10" x14ac:dyDescent="0.25">
      <c r="A29" s="454" t="s">
        <v>53</v>
      </c>
      <c r="B29" s="292" t="s">
        <v>160</v>
      </c>
      <c r="C29" s="455">
        <v>50</v>
      </c>
      <c r="D29" s="455">
        <v>100</v>
      </c>
      <c r="E29" s="461">
        <f t="shared" si="0"/>
        <v>-0.5</v>
      </c>
    </row>
    <row r="30" spans="1:10" x14ac:dyDescent="0.25">
      <c r="A30" s="452" t="s">
        <v>703</v>
      </c>
      <c r="B30" s="292" t="s">
        <v>708</v>
      </c>
      <c r="C30" s="456">
        <v>1600</v>
      </c>
      <c r="D30" s="456">
        <v>1600</v>
      </c>
      <c r="E30" s="461">
        <f t="shared" si="0"/>
        <v>0</v>
      </c>
    </row>
    <row r="31" spans="1:10" x14ac:dyDescent="0.25">
      <c r="A31" s="452"/>
      <c r="B31" s="292" t="s">
        <v>185</v>
      </c>
      <c r="C31" s="456">
        <v>7000</v>
      </c>
      <c r="D31" s="456">
        <v>10000</v>
      </c>
      <c r="E31" s="461">
        <f t="shared" si="0"/>
        <v>-0.3</v>
      </c>
    </row>
    <row r="32" spans="1:10" x14ac:dyDescent="0.25">
      <c r="A32" s="452"/>
      <c r="B32" s="292" t="s">
        <v>142</v>
      </c>
      <c r="C32" s="455">
        <v>100</v>
      </c>
      <c r="D32" s="455">
        <v>200</v>
      </c>
      <c r="E32" s="461">
        <f t="shared" si="0"/>
        <v>-0.5</v>
      </c>
    </row>
    <row r="33" spans="1:5" x14ac:dyDescent="0.25">
      <c r="A33" s="452"/>
      <c r="B33" s="292" t="s">
        <v>143</v>
      </c>
      <c r="C33" s="455">
        <v>1000</v>
      </c>
      <c r="D33" s="455">
        <v>500</v>
      </c>
      <c r="E33" s="461">
        <f t="shared" si="0"/>
        <v>1</v>
      </c>
    </row>
    <row r="34" spans="1:5" x14ac:dyDescent="0.25">
      <c r="A34" s="452"/>
      <c r="B34" s="292" t="s">
        <v>144</v>
      </c>
      <c r="C34" s="455">
        <v>1000</v>
      </c>
      <c r="D34" s="455">
        <v>850</v>
      </c>
      <c r="E34" s="461">
        <f t="shared" si="0"/>
        <v>0.17647058823529413</v>
      </c>
    </row>
    <row r="35" spans="1:5" x14ac:dyDescent="0.25">
      <c r="A35" s="452"/>
      <c r="B35" s="233" t="s">
        <v>695</v>
      </c>
      <c r="C35" s="234">
        <f>SUM(C30:C34)</f>
        <v>10700</v>
      </c>
      <c r="D35" s="234">
        <f>SUM(D30:D34)</f>
        <v>13150</v>
      </c>
      <c r="E35" s="462">
        <f t="shared" si="0"/>
        <v>-0.18631178707224336</v>
      </c>
    </row>
  </sheetData>
  <mergeCells count="10">
    <mergeCell ref="A18:A26"/>
    <mergeCell ref="A27:A28"/>
    <mergeCell ref="A30:A35"/>
    <mergeCell ref="A3:B3"/>
    <mergeCell ref="A5:A7"/>
    <mergeCell ref="A8:A9"/>
    <mergeCell ref="A10:A12"/>
    <mergeCell ref="A13:A17"/>
    <mergeCell ref="A1:F1"/>
    <mergeCell ref="A2:B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DFB85-923E-4CF0-BFC8-5824F9E1B018}">
  <dimension ref="A1:I14"/>
  <sheetViews>
    <sheetView workbookViewId="0">
      <selection activeCell="F11" sqref="F11:F14"/>
    </sheetView>
  </sheetViews>
  <sheetFormatPr defaultRowHeight="15" x14ac:dyDescent="0.25"/>
  <cols>
    <col min="1" max="1" width="24.42578125" customWidth="1"/>
    <col min="3" max="3" width="13.140625" customWidth="1"/>
    <col min="4" max="4" width="11.85546875" customWidth="1"/>
    <col min="5" max="5" width="15.28515625" customWidth="1"/>
    <col min="6" max="6" width="13.85546875" customWidth="1"/>
    <col min="7" max="7" width="14.85546875" customWidth="1"/>
    <col min="9" max="9" width="55" customWidth="1"/>
  </cols>
  <sheetData>
    <row r="1" spans="1:9" ht="60" x14ac:dyDescent="0.25">
      <c r="A1" s="220"/>
      <c r="B1" s="227" t="s">
        <v>174</v>
      </c>
      <c r="C1" s="228" t="s">
        <v>175</v>
      </c>
      <c r="D1" s="229" t="s">
        <v>176</v>
      </c>
      <c r="E1" s="229" t="s">
        <v>177</v>
      </c>
      <c r="F1" s="229" t="s">
        <v>178</v>
      </c>
      <c r="G1" s="230" t="s">
        <v>106</v>
      </c>
      <c r="H1" s="231" t="s">
        <v>107</v>
      </c>
      <c r="I1" s="232" t="s">
        <v>111</v>
      </c>
    </row>
    <row r="2" spans="1:9" x14ac:dyDescent="0.25">
      <c r="A2" s="233" t="s">
        <v>108</v>
      </c>
      <c r="B2" s="234">
        <f t="shared" ref="B2:G2" si="0">SUM(B3:B7)</f>
        <v>0</v>
      </c>
      <c r="C2" s="234">
        <f t="shared" si="0"/>
        <v>12850</v>
      </c>
      <c r="D2" s="234">
        <f t="shared" si="0"/>
        <v>12797.9</v>
      </c>
      <c r="E2" s="234">
        <f t="shared" si="0"/>
        <v>17977.280000000002</v>
      </c>
      <c r="F2" s="234">
        <f t="shared" si="0"/>
        <v>13150</v>
      </c>
      <c r="G2" s="234">
        <f t="shared" si="0"/>
        <v>300</v>
      </c>
      <c r="H2" s="235"/>
      <c r="I2" s="236"/>
    </row>
    <row r="3" spans="1:9" x14ac:dyDescent="0.25">
      <c r="A3" s="291" t="s">
        <v>140</v>
      </c>
      <c r="B3" s="221">
        <f>SUM('Hall 2024-25 Running'!A13)</f>
        <v>0</v>
      </c>
      <c r="C3" s="222">
        <v>1600</v>
      </c>
      <c r="D3" s="223">
        <f>SUM('Hall 2024-25 Running'!I13)</f>
        <v>1178.02</v>
      </c>
      <c r="E3" s="224">
        <v>1545.04</v>
      </c>
      <c r="F3" s="223">
        <v>1600</v>
      </c>
      <c r="G3" s="224">
        <f t="shared" ref="G3:G7" si="1">F3-C3</f>
        <v>0</v>
      </c>
      <c r="H3" s="225"/>
      <c r="I3" s="226" t="s">
        <v>602</v>
      </c>
    </row>
    <row r="4" spans="1:9" x14ac:dyDescent="0.25">
      <c r="A4" s="291" t="s">
        <v>185</v>
      </c>
      <c r="B4" s="221">
        <f>SUM('Hall 2024-25 Running'!A14)</f>
        <v>0</v>
      </c>
      <c r="C4" s="222">
        <v>10000</v>
      </c>
      <c r="D4" s="223">
        <f>SUM('Hall 2024-25 Running'!I14)</f>
        <v>10105.779999999999</v>
      </c>
      <c r="E4" s="224">
        <v>15000</v>
      </c>
      <c r="F4" s="223">
        <v>10000</v>
      </c>
      <c r="G4" s="224">
        <f t="shared" si="1"/>
        <v>0</v>
      </c>
      <c r="H4" s="225"/>
      <c r="I4" s="226" t="s">
        <v>681</v>
      </c>
    </row>
    <row r="5" spans="1:9" x14ac:dyDescent="0.25">
      <c r="A5" s="291" t="s">
        <v>142</v>
      </c>
      <c r="B5" s="221">
        <f>SUM('Hall 2024-25 Running'!A15)</f>
        <v>0</v>
      </c>
      <c r="C5" s="222">
        <v>200</v>
      </c>
      <c r="D5" s="223">
        <f>SUM('Hall 2024-25 Running'!I15)</f>
        <v>64.759999999999991</v>
      </c>
      <c r="E5" s="224">
        <v>100</v>
      </c>
      <c r="F5" s="223">
        <v>200</v>
      </c>
      <c r="G5" s="224">
        <f t="shared" si="1"/>
        <v>0</v>
      </c>
      <c r="H5" s="225"/>
      <c r="I5" s="226"/>
    </row>
    <row r="6" spans="1:9" x14ac:dyDescent="0.25">
      <c r="A6" s="291" t="s">
        <v>143</v>
      </c>
      <c r="B6" s="221">
        <f>SUM('Hall 2024-25 Running'!A16)</f>
        <v>0</v>
      </c>
      <c r="C6" s="222">
        <v>300</v>
      </c>
      <c r="D6" s="223">
        <f>SUM('Hall 2024-25 Running'!I16)</f>
        <v>617.1</v>
      </c>
      <c r="E6" s="224">
        <v>500</v>
      </c>
      <c r="F6" s="223">
        <v>500</v>
      </c>
      <c r="G6" s="224">
        <f t="shared" si="1"/>
        <v>200</v>
      </c>
      <c r="H6" s="225"/>
      <c r="I6" s="226"/>
    </row>
    <row r="7" spans="1:9" x14ac:dyDescent="0.25">
      <c r="A7" s="291" t="s">
        <v>144</v>
      </c>
      <c r="B7" s="221">
        <f>SUM('Hall 2024-25 Running'!A17)</f>
        <v>0</v>
      </c>
      <c r="C7" s="222">
        <v>750</v>
      </c>
      <c r="D7" s="223">
        <f>SUM('Hall 2024-25 Running'!I17)</f>
        <v>832.24</v>
      </c>
      <c r="E7" s="224">
        <v>832.24</v>
      </c>
      <c r="F7" s="223">
        <v>850</v>
      </c>
      <c r="G7" s="224">
        <f t="shared" si="1"/>
        <v>100</v>
      </c>
      <c r="H7" s="225"/>
      <c r="I7" s="226"/>
    </row>
    <row r="9" spans="1:9" ht="60" x14ac:dyDescent="0.25">
      <c r="A9" s="220"/>
      <c r="B9" s="227" t="s">
        <v>174</v>
      </c>
      <c r="C9" s="228" t="s">
        <v>175</v>
      </c>
      <c r="D9" s="229" t="s">
        <v>176</v>
      </c>
      <c r="E9" s="229" t="s">
        <v>177</v>
      </c>
      <c r="F9" s="229" t="s">
        <v>178</v>
      </c>
      <c r="G9" s="230" t="s">
        <v>106</v>
      </c>
      <c r="H9" s="232" t="s">
        <v>111</v>
      </c>
    </row>
    <row r="10" spans="1:9" x14ac:dyDescent="0.25">
      <c r="A10" s="254" t="s">
        <v>110</v>
      </c>
      <c r="B10" s="255">
        <f t="shared" ref="B10:G10" si="2">SUM(B11:B14)</f>
        <v>0</v>
      </c>
      <c r="C10" s="255">
        <f t="shared" si="2"/>
        <v>12775</v>
      </c>
      <c r="D10" s="255">
        <f t="shared" si="2"/>
        <v>8507.93</v>
      </c>
      <c r="E10" s="255">
        <f t="shared" si="2"/>
        <v>12775</v>
      </c>
      <c r="F10" s="255">
        <f t="shared" si="2"/>
        <v>13800.5</v>
      </c>
      <c r="G10" s="256">
        <f t="shared" si="2"/>
        <v>1025.5</v>
      </c>
      <c r="H10" s="256"/>
    </row>
    <row r="11" spans="1:9" x14ac:dyDescent="0.25">
      <c r="A11" s="291" t="s">
        <v>187</v>
      </c>
      <c r="B11" s="257">
        <f>SUM('Hall 2024-25 Running'!A6)</f>
        <v>0</v>
      </c>
      <c r="C11" s="258">
        <f>SUM('Hall 2024-25 Running'!E6)</f>
        <v>5700</v>
      </c>
      <c r="D11" s="258">
        <f>SUM('Hall 2024-25 Running'!I6)</f>
        <v>1564</v>
      </c>
      <c r="E11" s="258">
        <v>5700</v>
      </c>
      <c r="F11" s="258">
        <v>2578.5</v>
      </c>
      <c r="G11" s="224">
        <f t="shared" ref="G11:G14" si="3">F11-C11</f>
        <v>-3121.5</v>
      </c>
      <c r="H11" s="449" t="s">
        <v>603</v>
      </c>
    </row>
    <row r="12" spans="1:9" ht="15" customHeight="1" x14ac:dyDescent="0.25">
      <c r="A12" s="291" t="s">
        <v>149</v>
      </c>
      <c r="B12" s="257">
        <f>SUM('Hall 2024-25 Running'!A7)</f>
        <v>0</v>
      </c>
      <c r="C12" s="258">
        <f>SUM('Hall 2024-25 Running'!E7)</f>
        <v>3050</v>
      </c>
      <c r="D12" s="258">
        <f>SUM('Hall 2024-25 Running'!I7)</f>
        <v>3967.25</v>
      </c>
      <c r="E12" s="258">
        <v>3050</v>
      </c>
      <c r="F12" s="258">
        <v>7116</v>
      </c>
      <c r="G12" s="224">
        <f t="shared" si="3"/>
        <v>4066</v>
      </c>
      <c r="H12" s="450"/>
    </row>
    <row r="13" spans="1:9" x14ac:dyDescent="0.25">
      <c r="A13" s="291" t="s">
        <v>147</v>
      </c>
      <c r="B13" s="257">
        <f>SUM('Hall 2024-25 Running'!A8)</f>
        <v>0</v>
      </c>
      <c r="C13" s="258">
        <f>SUM('Hall 2024-25 Running'!E8)</f>
        <v>150</v>
      </c>
      <c r="D13" s="258">
        <f>SUM('Hall 2024-25 Running'!I8)</f>
        <v>370</v>
      </c>
      <c r="E13" s="258">
        <v>150</v>
      </c>
      <c r="F13" s="258">
        <v>231</v>
      </c>
      <c r="G13" s="224">
        <f t="shared" si="3"/>
        <v>81</v>
      </c>
      <c r="H13" s="450"/>
    </row>
    <row r="14" spans="1:9" x14ac:dyDescent="0.25">
      <c r="A14" s="291" t="s">
        <v>180</v>
      </c>
      <c r="B14" s="257">
        <f>SUM('Hall 2024-25 Running'!A9)</f>
        <v>0</v>
      </c>
      <c r="C14" s="258">
        <f>SUM('Hall 2024-25 Running'!E9)</f>
        <v>3875</v>
      </c>
      <c r="D14" s="258">
        <f>SUM('Hall 2024-25 Running'!I9)</f>
        <v>2606.6799999999998</v>
      </c>
      <c r="E14" s="258">
        <v>3875</v>
      </c>
      <c r="F14" s="258">
        <v>3875</v>
      </c>
      <c r="G14" s="224">
        <f t="shared" si="3"/>
        <v>0</v>
      </c>
      <c r="H14" s="451"/>
    </row>
  </sheetData>
  <mergeCells count="1">
    <mergeCell ref="H11:H14"/>
  </mergeCells>
  <conditionalFormatting sqref="G3:G7 G11:G14">
    <cfRule type="cellIs" dxfId="3" priority="5" operator="between">
      <formula>0</formula>
      <formula>100</formula>
    </cfRule>
    <cfRule type="cellIs" dxfId="2" priority="6" operator="lessThan">
      <formula>0</formula>
    </cfRule>
    <cfRule type="cellIs" dxfId="1" priority="7" operator="greaterThan">
      <formula>100</formula>
    </cfRule>
  </conditionalFormatting>
  <conditionalFormatting sqref="G11:G14">
    <cfRule type="cellIs" dxfId="0" priority="4" operator="between">
      <formula>0</formula>
      <formula>99</formula>
    </cfRule>
  </conditionalFormatting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2B9BC-F5F9-4F8A-9286-D7B5837C89DB}">
  <sheetPr codeName="Sheet2">
    <tabColor rgb="FFFF0000"/>
  </sheetPr>
  <dimension ref="A1:J27"/>
  <sheetViews>
    <sheetView zoomScale="90" zoomScaleNormal="90" workbookViewId="0">
      <selection activeCell="D25" sqref="D25"/>
    </sheetView>
  </sheetViews>
  <sheetFormatPr defaultColWidth="8.7109375" defaultRowHeight="15" x14ac:dyDescent="0.25"/>
  <cols>
    <col min="1" max="1" width="13.85546875" customWidth="1"/>
    <col min="2" max="2" width="0.85546875" customWidth="1"/>
    <col min="3" max="3" width="28.140625" customWidth="1"/>
    <col min="4" max="4" width="0.85546875" customWidth="1"/>
    <col min="5" max="5" width="15.42578125" customWidth="1"/>
    <col min="6" max="6" width="0.85546875" customWidth="1"/>
    <col min="7" max="7" width="30" customWidth="1"/>
    <col min="8" max="8" width="0.85546875" customWidth="1"/>
    <col min="9" max="9" width="17.140625" customWidth="1"/>
    <col min="10" max="10" width="17" style="283" customWidth="1"/>
    <col min="257" max="257" width="13.85546875" customWidth="1"/>
    <col min="258" max="258" width="0.85546875" customWidth="1"/>
    <col min="259" max="259" width="28.140625" customWidth="1"/>
    <col min="260" max="260" width="0.85546875" customWidth="1"/>
    <col min="261" max="261" width="15.42578125" customWidth="1"/>
    <col min="262" max="262" width="0.85546875" customWidth="1"/>
    <col min="263" max="263" width="30" customWidth="1"/>
    <col min="264" max="264" width="0.85546875" customWidth="1"/>
    <col min="265" max="265" width="17.140625" customWidth="1"/>
    <col min="513" max="513" width="13.85546875" customWidth="1"/>
    <col min="514" max="514" width="0.85546875" customWidth="1"/>
    <col min="515" max="515" width="28.140625" customWidth="1"/>
    <col min="516" max="516" width="0.85546875" customWidth="1"/>
    <col min="517" max="517" width="15.42578125" customWidth="1"/>
    <col min="518" max="518" width="0.85546875" customWidth="1"/>
    <col min="519" max="519" width="30" customWidth="1"/>
    <col min="520" max="520" width="0.85546875" customWidth="1"/>
    <col min="521" max="521" width="17.140625" customWidth="1"/>
    <col min="769" max="769" width="13.85546875" customWidth="1"/>
    <col min="770" max="770" width="0.85546875" customWidth="1"/>
    <col min="771" max="771" width="28.140625" customWidth="1"/>
    <col min="772" max="772" width="0.85546875" customWidth="1"/>
    <col min="773" max="773" width="15.42578125" customWidth="1"/>
    <col min="774" max="774" width="0.85546875" customWidth="1"/>
    <col min="775" max="775" width="30" customWidth="1"/>
    <col min="776" max="776" width="0.85546875" customWidth="1"/>
    <col min="777" max="777" width="17.140625" customWidth="1"/>
    <col min="1025" max="1025" width="13.85546875" customWidth="1"/>
    <col min="1026" max="1026" width="0.85546875" customWidth="1"/>
    <col min="1027" max="1027" width="28.140625" customWidth="1"/>
    <col min="1028" max="1028" width="0.85546875" customWidth="1"/>
    <col min="1029" max="1029" width="15.42578125" customWidth="1"/>
    <col min="1030" max="1030" width="0.85546875" customWidth="1"/>
    <col min="1031" max="1031" width="30" customWidth="1"/>
    <col min="1032" max="1032" width="0.85546875" customWidth="1"/>
    <col min="1033" max="1033" width="17.140625" customWidth="1"/>
    <col min="1281" max="1281" width="13.85546875" customWidth="1"/>
    <col min="1282" max="1282" width="0.85546875" customWidth="1"/>
    <col min="1283" max="1283" width="28.140625" customWidth="1"/>
    <col min="1284" max="1284" width="0.85546875" customWidth="1"/>
    <col min="1285" max="1285" width="15.42578125" customWidth="1"/>
    <col min="1286" max="1286" width="0.85546875" customWidth="1"/>
    <col min="1287" max="1287" width="30" customWidth="1"/>
    <col min="1288" max="1288" width="0.85546875" customWidth="1"/>
    <col min="1289" max="1289" width="17.140625" customWidth="1"/>
    <col min="1537" max="1537" width="13.85546875" customWidth="1"/>
    <col min="1538" max="1538" width="0.85546875" customWidth="1"/>
    <col min="1539" max="1539" width="28.140625" customWidth="1"/>
    <col min="1540" max="1540" width="0.85546875" customWidth="1"/>
    <col min="1541" max="1541" width="15.42578125" customWidth="1"/>
    <col min="1542" max="1542" width="0.85546875" customWidth="1"/>
    <col min="1543" max="1543" width="30" customWidth="1"/>
    <col min="1544" max="1544" width="0.85546875" customWidth="1"/>
    <col min="1545" max="1545" width="17.140625" customWidth="1"/>
    <col min="1793" max="1793" width="13.85546875" customWidth="1"/>
    <col min="1794" max="1794" width="0.85546875" customWidth="1"/>
    <col min="1795" max="1795" width="28.140625" customWidth="1"/>
    <col min="1796" max="1796" width="0.85546875" customWidth="1"/>
    <col min="1797" max="1797" width="15.42578125" customWidth="1"/>
    <col min="1798" max="1798" width="0.85546875" customWidth="1"/>
    <col min="1799" max="1799" width="30" customWidth="1"/>
    <col min="1800" max="1800" width="0.85546875" customWidth="1"/>
    <col min="1801" max="1801" width="17.140625" customWidth="1"/>
    <col min="2049" max="2049" width="13.85546875" customWidth="1"/>
    <col min="2050" max="2050" width="0.85546875" customWidth="1"/>
    <col min="2051" max="2051" width="28.140625" customWidth="1"/>
    <col min="2052" max="2052" width="0.85546875" customWidth="1"/>
    <col min="2053" max="2053" width="15.42578125" customWidth="1"/>
    <col min="2054" max="2054" width="0.85546875" customWidth="1"/>
    <col min="2055" max="2055" width="30" customWidth="1"/>
    <col min="2056" max="2056" width="0.85546875" customWidth="1"/>
    <col min="2057" max="2057" width="17.140625" customWidth="1"/>
    <col min="2305" max="2305" width="13.85546875" customWidth="1"/>
    <col min="2306" max="2306" width="0.85546875" customWidth="1"/>
    <col min="2307" max="2307" width="28.140625" customWidth="1"/>
    <col min="2308" max="2308" width="0.85546875" customWidth="1"/>
    <col min="2309" max="2309" width="15.42578125" customWidth="1"/>
    <col min="2310" max="2310" width="0.85546875" customWidth="1"/>
    <col min="2311" max="2311" width="30" customWidth="1"/>
    <col min="2312" max="2312" width="0.85546875" customWidth="1"/>
    <col min="2313" max="2313" width="17.140625" customWidth="1"/>
    <col min="2561" max="2561" width="13.85546875" customWidth="1"/>
    <col min="2562" max="2562" width="0.85546875" customWidth="1"/>
    <col min="2563" max="2563" width="28.140625" customWidth="1"/>
    <col min="2564" max="2564" width="0.85546875" customWidth="1"/>
    <col min="2565" max="2565" width="15.42578125" customWidth="1"/>
    <col min="2566" max="2566" width="0.85546875" customWidth="1"/>
    <col min="2567" max="2567" width="30" customWidth="1"/>
    <col min="2568" max="2568" width="0.85546875" customWidth="1"/>
    <col min="2569" max="2569" width="17.140625" customWidth="1"/>
    <col min="2817" max="2817" width="13.85546875" customWidth="1"/>
    <col min="2818" max="2818" width="0.85546875" customWidth="1"/>
    <col min="2819" max="2819" width="28.140625" customWidth="1"/>
    <col min="2820" max="2820" width="0.85546875" customWidth="1"/>
    <col min="2821" max="2821" width="15.42578125" customWidth="1"/>
    <col min="2822" max="2822" width="0.85546875" customWidth="1"/>
    <col min="2823" max="2823" width="30" customWidth="1"/>
    <col min="2824" max="2824" width="0.85546875" customWidth="1"/>
    <col min="2825" max="2825" width="17.140625" customWidth="1"/>
    <col min="3073" max="3073" width="13.85546875" customWidth="1"/>
    <col min="3074" max="3074" width="0.85546875" customWidth="1"/>
    <col min="3075" max="3075" width="28.140625" customWidth="1"/>
    <col min="3076" max="3076" width="0.85546875" customWidth="1"/>
    <col min="3077" max="3077" width="15.42578125" customWidth="1"/>
    <col min="3078" max="3078" width="0.85546875" customWidth="1"/>
    <col min="3079" max="3079" width="30" customWidth="1"/>
    <col min="3080" max="3080" width="0.85546875" customWidth="1"/>
    <col min="3081" max="3081" width="17.140625" customWidth="1"/>
    <col min="3329" max="3329" width="13.85546875" customWidth="1"/>
    <col min="3330" max="3330" width="0.85546875" customWidth="1"/>
    <col min="3331" max="3331" width="28.140625" customWidth="1"/>
    <col min="3332" max="3332" width="0.85546875" customWidth="1"/>
    <col min="3333" max="3333" width="15.42578125" customWidth="1"/>
    <col min="3334" max="3334" width="0.85546875" customWidth="1"/>
    <col min="3335" max="3335" width="30" customWidth="1"/>
    <col min="3336" max="3336" width="0.85546875" customWidth="1"/>
    <col min="3337" max="3337" width="17.140625" customWidth="1"/>
    <col min="3585" max="3585" width="13.85546875" customWidth="1"/>
    <col min="3586" max="3586" width="0.85546875" customWidth="1"/>
    <col min="3587" max="3587" width="28.140625" customWidth="1"/>
    <col min="3588" max="3588" width="0.85546875" customWidth="1"/>
    <col min="3589" max="3589" width="15.42578125" customWidth="1"/>
    <col min="3590" max="3590" width="0.85546875" customWidth="1"/>
    <col min="3591" max="3591" width="30" customWidth="1"/>
    <col min="3592" max="3592" width="0.85546875" customWidth="1"/>
    <col min="3593" max="3593" width="17.140625" customWidth="1"/>
    <col min="3841" max="3841" width="13.85546875" customWidth="1"/>
    <col min="3842" max="3842" width="0.85546875" customWidth="1"/>
    <col min="3843" max="3843" width="28.140625" customWidth="1"/>
    <col min="3844" max="3844" width="0.85546875" customWidth="1"/>
    <col min="3845" max="3845" width="15.42578125" customWidth="1"/>
    <col min="3846" max="3846" width="0.85546875" customWidth="1"/>
    <col min="3847" max="3847" width="30" customWidth="1"/>
    <col min="3848" max="3848" width="0.85546875" customWidth="1"/>
    <col min="3849" max="3849" width="17.140625" customWidth="1"/>
    <col min="4097" max="4097" width="13.85546875" customWidth="1"/>
    <col min="4098" max="4098" width="0.85546875" customWidth="1"/>
    <col min="4099" max="4099" width="28.140625" customWidth="1"/>
    <col min="4100" max="4100" width="0.85546875" customWidth="1"/>
    <col min="4101" max="4101" width="15.42578125" customWidth="1"/>
    <col min="4102" max="4102" width="0.85546875" customWidth="1"/>
    <col min="4103" max="4103" width="30" customWidth="1"/>
    <col min="4104" max="4104" width="0.85546875" customWidth="1"/>
    <col min="4105" max="4105" width="17.140625" customWidth="1"/>
    <col min="4353" max="4353" width="13.85546875" customWidth="1"/>
    <col min="4354" max="4354" width="0.85546875" customWidth="1"/>
    <col min="4355" max="4355" width="28.140625" customWidth="1"/>
    <col min="4356" max="4356" width="0.85546875" customWidth="1"/>
    <col min="4357" max="4357" width="15.42578125" customWidth="1"/>
    <col min="4358" max="4358" width="0.85546875" customWidth="1"/>
    <col min="4359" max="4359" width="30" customWidth="1"/>
    <col min="4360" max="4360" width="0.85546875" customWidth="1"/>
    <col min="4361" max="4361" width="17.140625" customWidth="1"/>
    <col min="4609" max="4609" width="13.85546875" customWidth="1"/>
    <col min="4610" max="4610" width="0.85546875" customWidth="1"/>
    <col min="4611" max="4611" width="28.140625" customWidth="1"/>
    <col min="4612" max="4612" width="0.85546875" customWidth="1"/>
    <col min="4613" max="4613" width="15.42578125" customWidth="1"/>
    <col min="4614" max="4614" width="0.85546875" customWidth="1"/>
    <col min="4615" max="4615" width="30" customWidth="1"/>
    <col min="4616" max="4616" width="0.85546875" customWidth="1"/>
    <col min="4617" max="4617" width="17.140625" customWidth="1"/>
    <col min="4865" max="4865" width="13.85546875" customWidth="1"/>
    <col min="4866" max="4866" width="0.85546875" customWidth="1"/>
    <col min="4867" max="4867" width="28.140625" customWidth="1"/>
    <col min="4868" max="4868" width="0.85546875" customWidth="1"/>
    <col min="4869" max="4869" width="15.42578125" customWidth="1"/>
    <col min="4870" max="4870" width="0.85546875" customWidth="1"/>
    <col min="4871" max="4871" width="30" customWidth="1"/>
    <col min="4872" max="4872" width="0.85546875" customWidth="1"/>
    <col min="4873" max="4873" width="17.140625" customWidth="1"/>
    <col min="5121" max="5121" width="13.85546875" customWidth="1"/>
    <col min="5122" max="5122" width="0.85546875" customWidth="1"/>
    <col min="5123" max="5123" width="28.140625" customWidth="1"/>
    <col min="5124" max="5124" width="0.85546875" customWidth="1"/>
    <col min="5125" max="5125" width="15.42578125" customWidth="1"/>
    <col min="5126" max="5126" width="0.85546875" customWidth="1"/>
    <col min="5127" max="5127" width="30" customWidth="1"/>
    <col min="5128" max="5128" width="0.85546875" customWidth="1"/>
    <col min="5129" max="5129" width="17.140625" customWidth="1"/>
    <col min="5377" max="5377" width="13.85546875" customWidth="1"/>
    <col min="5378" max="5378" width="0.85546875" customWidth="1"/>
    <col min="5379" max="5379" width="28.140625" customWidth="1"/>
    <col min="5380" max="5380" width="0.85546875" customWidth="1"/>
    <col min="5381" max="5381" width="15.42578125" customWidth="1"/>
    <col min="5382" max="5382" width="0.85546875" customWidth="1"/>
    <col min="5383" max="5383" width="30" customWidth="1"/>
    <col min="5384" max="5384" width="0.85546875" customWidth="1"/>
    <col min="5385" max="5385" width="17.140625" customWidth="1"/>
    <col min="5633" max="5633" width="13.85546875" customWidth="1"/>
    <col min="5634" max="5634" width="0.85546875" customWidth="1"/>
    <col min="5635" max="5635" width="28.140625" customWidth="1"/>
    <col min="5636" max="5636" width="0.85546875" customWidth="1"/>
    <col min="5637" max="5637" width="15.42578125" customWidth="1"/>
    <col min="5638" max="5638" width="0.85546875" customWidth="1"/>
    <col min="5639" max="5639" width="30" customWidth="1"/>
    <col min="5640" max="5640" width="0.85546875" customWidth="1"/>
    <col min="5641" max="5641" width="17.140625" customWidth="1"/>
    <col min="5889" max="5889" width="13.85546875" customWidth="1"/>
    <col min="5890" max="5890" width="0.85546875" customWidth="1"/>
    <col min="5891" max="5891" width="28.140625" customWidth="1"/>
    <col min="5892" max="5892" width="0.85546875" customWidth="1"/>
    <col min="5893" max="5893" width="15.42578125" customWidth="1"/>
    <col min="5894" max="5894" width="0.85546875" customWidth="1"/>
    <col min="5895" max="5895" width="30" customWidth="1"/>
    <col min="5896" max="5896" width="0.85546875" customWidth="1"/>
    <col min="5897" max="5897" width="17.140625" customWidth="1"/>
    <col min="6145" max="6145" width="13.85546875" customWidth="1"/>
    <col min="6146" max="6146" width="0.85546875" customWidth="1"/>
    <col min="6147" max="6147" width="28.140625" customWidth="1"/>
    <col min="6148" max="6148" width="0.85546875" customWidth="1"/>
    <col min="6149" max="6149" width="15.42578125" customWidth="1"/>
    <col min="6150" max="6150" width="0.85546875" customWidth="1"/>
    <col min="6151" max="6151" width="30" customWidth="1"/>
    <col min="6152" max="6152" width="0.85546875" customWidth="1"/>
    <col min="6153" max="6153" width="17.140625" customWidth="1"/>
    <col min="6401" max="6401" width="13.85546875" customWidth="1"/>
    <col min="6402" max="6402" width="0.85546875" customWidth="1"/>
    <col min="6403" max="6403" width="28.140625" customWidth="1"/>
    <col min="6404" max="6404" width="0.85546875" customWidth="1"/>
    <col min="6405" max="6405" width="15.42578125" customWidth="1"/>
    <col min="6406" max="6406" width="0.85546875" customWidth="1"/>
    <col min="6407" max="6407" width="30" customWidth="1"/>
    <col min="6408" max="6408" width="0.85546875" customWidth="1"/>
    <col min="6409" max="6409" width="17.140625" customWidth="1"/>
    <col min="6657" max="6657" width="13.85546875" customWidth="1"/>
    <col min="6658" max="6658" width="0.85546875" customWidth="1"/>
    <col min="6659" max="6659" width="28.140625" customWidth="1"/>
    <col min="6660" max="6660" width="0.85546875" customWidth="1"/>
    <col min="6661" max="6661" width="15.42578125" customWidth="1"/>
    <col min="6662" max="6662" width="0.85546875" customWidth="1"/>
    <col min="6663" max="6663" width="30" customWidth="1"/>
    <col min="6664" max="6664" width="0.85546875" customWidth="1"/>
    <col min="6665" max="6665" width="17.140625" customWidth="1"/>
    <col min="6913" max="6913" width="13.85546875" customWidth="1"/>
    <col min="6914" max="6914" width="0.85546875" customWidth="1"/>
    <col min="6915" max="6915" width="28.140625" customWidth="1"/>
    <col min="6916" max="6916" width="0.85546875" customWidth="1"/>
    <col min="6917" max="6917" width="15.42578125" customWidth="1"/>
    <col min="6918" max="6918" width="0.85546875" customWidth="1"/>
    <col min="6919" max="6919" width="30" customWidth="1"/>
    <col min="6920" max="6920" width="0.85546875" customWidth="1"/>
    <col min="6921" max="6921" width="17.140625" customWidth="1"/>
    <col min="7169" max="7169" width="13.85546875" customWidth="1"/>
    <col min="7170" max="7170" width="0.85546875" customWidth="1"/>
    <col min="7171" max="7171" width="28.140625" customWidth="1"/>
    <col min="7172" max="7172" width="0.85546875" customWidth="1"/>
    <col min="7173" max="7173" width="15.42578125" customWidth="1"/>
    <col min="7174" max="7174" width="0.85546875" customWidth="1"/>
    <col min="7175" max="7175" width="30" customWidth="1"/>
    <col min="7176" max="7176" width="0.85546875" customWidth="1"/>
    <col min="7177" max="7177" width="17.140625" customWidth="1"/>
    <col min="7425" max="7425" width="13.85546875" customWidth="1"/>
    <col min="7426" max="7426" width="0.85546875" customWidth="1"/>
    <col min="7427" max="7427" width="28.140625" customWidth="1"/>
    <col min="7428" max="7428" width="0.85546875" customWidth="1"/>
    <col min="7429" max="7429" width="15.42578125" customWidth="1"/>
    <col min="7430" max="7430" width="0.85546875" customWidth="1"/>
    <col min="7431" max="7431" width="30" customWidth="1"/>
    <col min="7432" max="7432" width="0.85546875" customWidth="1"/>
    <col min="7433" max="7433" width="17.140625" customWidth="1"/>
    <col min="7681" max="7681" width="13.85546875" customWidth="1"/>
    <col min="7682" max="7682" width="0.85546875" customWidth="1"/>
    <col min="7683" max="7683" width="28.140625" customWidth="1"/>
    <col min="7684" max="7684" width="0.85546875" customWidth="1"/>
    <col min="7685" max="7685" width="15.42578125" customWidth="1"/>
    <col min="7686" max="7686" width="0.85546875" customWidth="1"/>
    <col min="7687" max="7687" width="30" customWidth="1"/>
    <col min="7688" max="7688" width="0.85546875" customWidth="1"/>
    <col min="7689" max="7689" width="17.140625" customWidth="1"/>
    <col min="7937" max="7937" width="13.85546875" customWidth="1"/>
    <col min="7938" max="7938" width="0.85546875" customWidth="1"/>
    <col min="7939" max="7939" width="28.140625" customWidth="1"/>
    <col min="7940" max="7940" width="0.85546875" customWidth="1"/>
    <col min="7941" max="7941" width="15.42578125" customWidth="1"/>
    <col min="7942" max="7942" width="0.85546875" customWidth="1"/>
    <col min="7943" max="7943" width="30" customWidth="1"/>
    <col min="7944" max="7944" width="0.85546875" customWidth="1"/>
    <col min="7945" max="7945" width="17.140625" customWidth="1"/>
    <col min="8193" max="8193" width="13.85546875" customWidth="1"/>
    <col min="8194" max="8194" width="0.85546875" customWidth="1"/>
    <col min="8195" max="8195" width="28.140625" customWidth="1"/>
    <col min="8196" max="8196" width="0.85546875" customWidth="1"/>
    <col min="8197" max="8197" width="15.42578125" customWidth="1"/>
    <col min="8198" max="8198" width="0.85546875" customWidth="1"/>
    <col min="8199" max="8199" width="30" customWidth="1"/>
    <col min="8200" max="8200" width="0.85546875" customWidth="1"/>
    <col min="8201" max="8201" width="17.140625" customWidth="1"/>
    <col min="8449" max="8449" width="13.85546875" customWidth="1"/>
    <col min="8450" max="8450" width="0.85546875" customWidth="1"/>
    <col min="8451" max="8451" width="28.140625" customWidth="1"/>
    <col min="8452" max="8452" width="0.85546875" customWidth="1"/>
    <col min="8453" max="8453" width="15.42578125" customWidth="1"/>
    <col min="8454" max="8454" width="0.85546875" customWidth="1"/>
    <col min="8455" max="8455" width="30" customWidth="1"/>
    <col min="8456" max="8456" width="0.85546875" customWidth="1"/>
    <col min="8457" max="8457" width="17.140625" customWidth="1"/>
    <col min="8705" max="8705" width="13.85546875" customWidth="1"/>
    <col min="8706" max="8706" width="0.85546875" customWidth="1"/>
    <col min="8707" max="8707" width="28.140625" customWidth="1"/>
    <col min="8708" max="8708" width="0.85546875" customWidth="1"/>
    <col min="8709" max="8709" width="15.42578125" customWidth="1"/>
    <col min="8710" max="8710" width="0.85546875" customWidth="1"/>
    <col min="8711" max="8711" width="30" customWidth="1"/>
    <col min="8712" max="8712" width="0.85546875" customWidth="1"/>
    <col min="8713" max="8713" width="17.140625" customWidth="1"/>
    <col min="8961" max="8961" width="13.85546875" customWidth="1"/>
    <col min="8962" max="8962" width="0.85546875" customWidth="1"/>
    <col min="8963" max="8963" width="28.140625" customWidth="1"/>
    <col min="8964" max="8964" width="0.85546875" customWidth="1"/>
    <col min="8965" max="8965" width="15.42578125" customWidth="1"/>
    <col min="8966" max="8966" width="0.85546875" customWidth="1"/>
    <col min="8967" max="8967" width="30" customWidth="1"/>
    <col min="8968" max="8968" width="0.85546875" customWidth="1"/>
    <col min="8969" max="8969" width="17.140625" customWidth="1"/>
    <col min="9217" max="9217" width="13.85546875" customWidth="1"/>
    <col min="9218" max="9218" width="0.85546875" customWidth="1"/>
    <col min="9219" max="9219" width="28.140625" customWidth="1"/>
    <col min="9220" max="9220" width="0.85546875" customWidth="1"/>
    <col min="9221" max="9221" width="15.42578125" customWidth="1"/>
    <col min="9222" max="9222" width="0.85546875" customWidth="1"/>
    <col min="9223" max="9223" width="30" customWidth="1"/>
    <col min="9224" max="9224" width="0.85546875" customWidth="1"/>
    <col min="9225" max="9225" width="17.140625" customWidth="1"/>
    <col min="9473" max="9473" width="13.85546875" customWidth="1"/>
    <col min="9474" max="9474" width="0.85546875" customWidth="1"/>
    <col min="9475" max="9475" width="28.140625" customWidth="1"/>
    <col min="9476" max="9476" width="0.85546875" customWidth="1"/>
    <col min="9477" max="9477" width="15.42578125" customWidth="1"/>
    <col min="9478" max="9478" width="0.85546875" customWidth="1"/>
    <col min="9479" max="9479" width="30" customWidth="1"/>
    <col min="9480" max="9480" width="0.85546875" customWidth="1"/>
    <col min="9481" max="9481" width="17.140625" customWidth="1"/>
    <col min="9729" max="9729" width="13.85546875" customWidth="1"/>
    <col min="9730" max="9730" width="0.85546875" customWidth="1"/>
    <col min="9731" max="9731" width="28.140625" customWidth="1"/>
    <col min="9732" max="9732" width="0.85546875" customWidth="1"/>
    <col min="9733" max="9733" width="15.42578125" customWidth="1"/>
    <col min="9734" max="9734" width="0.85546875" customWidth="1"/>
    <col min="9735" max="9735" width="30" customWidth="1"/>
    <col min="9736" max="9736" width="0.85546875" customWidth="1"/>
    <col min="9737" max="9737" width="17.140625" customWidth="1"/>
    <col min="9985" max="9985" width="13.85546875" customWidth="1"/>
    <col min="9986" max="9986" width="0.85546875" customWidth="1"/>
    <col min="9987" max="9987" width="28.140625" customWidth="1"/>
    <col min="9988" max="9988" width="0.85546875" customWidth="1"/>
    <col min="9989" max="9989" width="15.42578125" customWidth="1"/>
    <col min="9990" max="9990" width="0.85546875" customWidth="1"/>
    <col min="9991" max="9991" width="30" customWidth="1"/>
    <col min="9992" max="9992" width="0.85546875" customWidth="1"/>
    <col min="9993" max="9993" width="17.140625" customWidth="1"/>
    <col min="10241" max="10241" width="13.85546875" customWidth="1"/>
    <col min="10242" max="10242" width="0.85546875" customWidth="1"/>
    <col min="10243" max="10243" width="28.140625" customWidth="1"/>
    <col min="10244" max="10244" width="0.85546875" customWidth="1"/>
    <col min="10245" max="10245" width="15.42578125" customWidth="1"/>
    <col min="10246" max="10246" width="0.85546875" customWidth="1"/>
    <col min="10247" max="10247" width="30" customWidth="1"/>
    <col min="10248" max="10248" width="0.85546875" customWidth="1"/>
    <col min="10249" max="10249" width="17.140625" customWidth="1"/>
    <col min="10497" max="10497" width="13.85546875" customWidth="1"/>
    <col min="10498" max="10498" width="0.85546875" customWidth="1"/>
    <col min="10499" max="10499" width="28.140625" customWidth="1"/>
    <col min="10500" max="10500" width="0.85546875" customWidth="1"/>
    <col min="10501" max="10501" width="15.42578125" customWidth="1"/>
    <col min="10502" max="10502" width="0.85546875" customWidth="1"/>
    <col min="10503" max="10503" width="30" customWidth="1"/>
    <col min="10504" max="10504" width="0.85546875" customWidth="1"/>
    <col min="10505" max="10505" width="17.140625" customWidth="1"/>
    <col min="10753" max="10753" width="13.85546875" customWidth="1"/>
    <col min="10754" max="10754" width="0.85546875" customWidth="1"/>
    <col min="10755" max="10755" width="28.140625" customWidth="1"/>
    <col min="10756" max="10756" width="0.85546875" customWidth="1"/>
    <col min="10757" max="10757" width="15.42578125" customWidth="1"/>
    <col min="10758" max="10758" width="0.85546875" customWidth="1"/>
    <col min="10759" max="10759" width="30" customWidth="1"/>
    <col min="10760" max="10760" width="0.85546875" customWidth="1"/>
    <col min="10761" max="10761" width="17.140625" customWidth="1"/>
    <col min="11009" max="11009" width="13.85546875" customWidth="1"/>
    <col min="11010" max="11010" width="0.85546875" customWidth="1"/>
    <col min="11011" max="11011" width="28.140625" customWidth="1"/>
    <col min="11012" max="11012" width="0.85546875" customWidth="1"/>
    <col min="11013" max="11013" width="15.42578125" customWidth="1"/>
    <col min="11014" max="11014" width="0.85546875" customWidth="1"/>
    <col min="11015" max="11015" width="30" customWidth="1"/>
    <col min="11016" max="11016" width="0.85546875" customWidth="1"/>
    <col min="11017" max="11017" width="17.140625" customWidth="1"/>
    <col min="11265" max="11265" width="13.85546875" customWidth="1"/>
    <col min="11266" max="11266" width="0.85546875" customWidth="1"/>
    <col min="11267" max="11267" width="28.140625" customWidth="1"/>
    <col min="11268" max="11268" width="0.85546875" customWidth="1"/>
    <col min="11269" max="11269" width="15.42578125" customWidth="1"/>
    <col min="11270" max="11270" width="0.85546875" customWidth="1"/>
    <col min="11271" max="11271" width="30" customWidth="1"/>
    <col min="11272" max="11272" width="0.85546875" customWidth="1"/>
    <col min="11273" max="11273" width="17.140625" customWidth="1"/>
    <col min="11521" max="11521" width="13.85546875" customWidth="1"/>
    <col min="11522" max="11522" width="0.85546875" customWidth="1"/>
    <col min="11523" max="11523" width="28.140625" customWidth="1"/>
    <col min="11524" max="11524" width="0.85546875" customWidth="1"/>
    <col min="11525" max="11525" width="15.42578125" customWidth="1"/>
    <col min="11526" max="11526" width="0.85546875" customWidth="1"/>
    <col min="11527" max="11527" width="30" customWidth="1"/>
    <col min="11528" max="11528" width="0.85546875" customWidth="1"/>
    <col min="11529" max="11529" width="17.140625" customWidth="1"/>
    <col min="11777" max="11777" width="13.85546875" customWidth="1"/>
    <col min="11778" max="11778" width="0.85546875" customWidth="1"/>
    <col min="11779" max="11779" width="28.140625" customWidth="1"/>
    <col min="11780" max="11780" width="0.85546875" customWidth="1"/>
    <col min="11781" max="11781" width="15.42578125" customWidth="1"/>
    <col min="11782" max="11782" width="0.85546875" customWidth="1"/>
    <col min="11783" max="11783" width="30" customWidth="1"/>
    <col min="11784" max="11784" width="0.85546875" customWidth="1"/>
    <col min="11785" max="11785" width="17.140625" customWidth="1"/>
    <col min="12033" max="12033" width="13.85546875" customWidth="1"/>
    <col min="12034" max="12034" width="0.85546875" customWidth="1"/>
    <col min="12035" max="12035" width="28.140625" customWidth="1"/>
    <col min="12036" max="12036" width="0.85546875" customWidth="1"/>
    <col min="12037" max="12037" width="15.42578125" customWidth="1"/>
    <col min="12038" max="12038" width="0.85546875" customWidth="1"/>
    <col min="12039" max="12039" width="30" customWidth="1"/>
    <col min="12040" max="12040" width="0.85546875" customWidth="1"/>
    <col min="12041" max="12041" width="17.140625" customWidth="1"/>
    <col min="12289" max="12289" width="13.85546875" customWidth="1"/>
    <col min="12290" max="12290" width="0.85546875" customWidth="1"/>
    <col min="12291" max="12291" width="28.140625" customWidth="1"/>
    <col min="12292" max="12292" width="0.85546875" customWidth="1"/>
    <col min="12293" max="12293" width="15.42578125" customWidth="1"/>
    <col min="12294" max="12294" width="0.85546875" customWidth="1"/>
    <col min="12295" max="12295" width="30" customWidth="1"/>
    <col min="12296" max="12296" width="0.85546875" customWidth="1"/>
    <col min="12297" max="12297" width="17.140625" customWidth="1"/>
    <col min="12545" max="12545" width="13.85546875" customWidth="1"/>
    <col min="12546" max="12546" width="0.85546875" customWidth="1"/>
    <col min="12547" max="12547" width="28.140625" customWidth="1"/>
    <col min="12548" max="12548" width="0.85546875" customWidth="1"/>
    <col min="12549" max="12549" width="15.42578125" customWidth="1"/>
    <col min="12550" max="12550" width="0.85546875" customWidth="1"/>
    <col min="12551" max="12551" width="30" customWidth="1"/>
    <col min="12552" max="12552" width="0.85546875" customWidth="1"/>
    <col min="12553" max="12553" width="17.140625" customWidth="1"/>
    <col min="12801" max="12801" width="13.85546875" customWidth="1"/>
    <col min="12802" max="12802" width="0.85546875" customWidth="1"/>
    <col min="12803" max="12803" width="28.140625" customWidth="1"/>
    <col min="12804" max="12804" width="0.85546875" customWidth="1"/>
    <col min="12805" max="12805" width="15.42578125" customWidth="1"/>
    <col min="12806" max="12806" width="0.85546875" customWidth="1"/>
    <col min="12807" max="12807" width="30" customWidth="1"/>
    <col min="12808" max="12808" width="0.85546875" customWidth="1"/>
    <col min="12809" max="12809" width="17.140625" customWidth="1"/>
    <col min="13057" max="13057" width="13.85546875" customWidth="1"/>
    <col min="13058" max="13058" width="0.85546875" customWidth="1"/>
    <col min="13059" max="13059" width="28.140625" customWidth="1"/>
    <col min="13060" max="13060" width="0.85546875" customWidth="1"/>
    <col min="13061" max="13061" width="15.42578125" customWidth="1"/>
    <col min="13062" max="13062" width="0.85546875" customWidth="1"/>
    <col min="13063" max="13063" width="30" customWidth="1"/>
    <col min="13064" max="13064" width="0.85546875" customWidth="1"/>
    <col min="13065" max="13065" width="17.140625" customWidth="1"/>
    <col min="13313" max="13313" width="13.85546875" customWidth="1"/>
    <col min="13314" max="13314" width="0.85546875" customWidth="1"/>
    <col min="13315" max="13315" width="28.140625" customWidth="1"/>
    <col min="13316" max="13316" width="0.85546875" customWidth="1"/>
    <col min="13317" max="13317" width="15.42578125" customWidth="1"/>
    <col min="13318" max="13318" width="0.85546875" customWidth="1"/>
    <col min="13319" max="13319" width="30" customWidth="1"/>
    <col min="13320" max="13320" width="0.85546875" customWidth="1"/>
    <col min="13321" max="13321" width="17.140625" customWidth="1"/>
    <col min="13569" max="13569" width="13.85546875" customWidth="1"/>
    <col min="13570" max="13570" width="0.85546875" customWidth="1"/>
    <col min="13571" max="13571" width="28.140625" customWidth="1"/>
    <col min="13572" max="13572" width="0.85546875" customWidth="1"/>
    <col min="13573" max="13573" width="15.42578125" customWidth="1"/>
    <col min="13574" max="13574" width="0.85546875" customWidth="1"/>
    <col min="13575" max="13575" width="30" customWidth="1"/>
    <col min="13576" max="13576" width="0.85546875" customWidth="1"/>
    <col min="13577" max="13577" width="17.140625" customWidth="1"/>
    <col min="13825" max="13825" width="13.85546875" customWidth="1"/>
    <col min="13826" max="13826" width="0.85546875" customWidth="1"/>
    <col min="13827" max="13827" width="28.140625" customWidth="1"/>
    <col min="13828" max="13828" width="0.85546875" customWidth="1"/>
    <col min="13829" max="13829" width="15.42578125" customWidth="1"/>
    <col min="13830" max="13830" width="0.85546875" customWidth="1"/>
    <col min="13831" max="13831" width="30" customWidth="1"/>
    <col min="13832" max="13832" width="0.85546875" customWidth="1"/>
    <col min="13833" max="13833" width="17.140625" customWidth="1"/>
    <col min="14081" max="14081" width="13.85546875" customWidth="1"/>
    <col min="14082" max="14082" width="0.85546875" customWidth="1"/>
    <col min="14083" max="14083" width="28.140625" customWidth="1"/>
    <col min="14084" max="14084" width="0.85546875" customWidth="1"/>
    <col min="14085" max="14085" width="15.42578125" customWidth="1"/>
    <col min="14086" max="14086" width="0.85546875" customWidth="1"/>
    <col min="14087" max="14087" width="30" customWidth="1"/>
    <col min="14088" max="14088" width="0.85546875" customWidth="1"/>
    <col min="14089" max="14089" width="17.140625" customWidth="1"/>
    <col min="14337" max="14337" width="13.85546875" customWidth="1"/>
    <col min="14338" max="14338" width="0.85546875" customWidth="1"/>
    <col min="14339" max="14339" width="28.140625" customWidth="1"/>
    <col min="14340" max="14340" width="0.85546875" customWidth="1"/>
    <col min="14341" max="14341" width="15.42578125" customWidth="1"/>
    <col min="14342" max="14342" width="0.85546875" customWidth="1"/>
    <col min="14343" max="14343" width="30" customWidth="1"/>
    <col min="14344" max="14344" width="0.85546875" customWidth="1"/>
    <col min="14345" max="14345" width="17.140625" customWidth="1"/>
    <col min="14593" max="14593" width="13.85546875" customWidth="1"/>
    <col min="14594" max="14594" width="0.85546875" customWidth="1"/>
    <col min="14595" max="14595" width="28.140625" customWidth="1"/>
    <col min="14596" max="14596" width="0.85546875" customWidth="1"/>
    <col min="14597" max="14597" width="15.42578125" customWidth="1"/>
    <col min="14598" max="14598" width="0.85546875" customWidth="1"/>
    <col min="14599" max="14599" width="30" customWidth="1"/>
    <col min="14600" max="14600" width="0.85546875" customWidth="1"/>
    <col min="14601" max="14601" width="17.140625" customWidth="1"/>
    <col min="14849" max="14849" width="13.85546875" customWidth="1"/>
    <col min="14850" max="14850" width="0.85546875" customWidth="1"/>
    <col min="14851" max="14851" width="28.140625" customWidth="1"/>
    <col min="14852" max="14852" width="0.85546875" customWidth="1"/>
    <col min="14853" max="14853" width="15.42578125" customWidth="1"/>
    <col min="14854" max="14854" width="0.85546875" customWidth="1"/>
    <col min="14855" max="14855" width="30" customWidth="1"/>
    <col min="14856" max="14856" width="0.85546875" customWidth="1"/>
    <col min="14857" max="14857" width="17.140625" customWidth="1"/>
    <col min="15105" max="15105" width="13.85546875" customWidth="1"/>
    <col min="15106" max="15106" width="0.85546875" customWidth="1"/>
    <col min="15107" max="15107" width="28.140625" customWidth="1"/>
    <col min="15108" max="15108" width="0.85546875" customWidth="1"/>
    <col min="15109" max="15109" width="15.42578125" customWidth="1"/>
    <col min="15110" max="15110" width="0.85546875" customWidth="1"/>
    <col min="15111" max="15111" width="30" customWidth="1"/>
    <col min="15112" max="15112" width="0.85546875" customWidth="1"/>
    <col min="15113" max="15113" width="17.140625" customWidth="1"/>
    <col min="15361" max="15361" width="13.85546875" customWidth="1"/>
    <col min="15362" max="15362" width="0.85546875" customWidth="1"/>
    <col min="15363" max="15363" width="28.140625" customWidth="1"/>
    <col min="15364" max="15364" width="0.85546875" customWidth="1"/>
    <col min="15365" max="15365" width="15.42578125" customWidth="1"/>
    <col min="15366" max="15366" width="0.85546875" customWidth="1"/>
    <col min="15367" max="15367" width="30" customWidth="1"/>
    <col min="15368" max="15368" width="0.85546875" customWidth="1"/>
    <col min="15369" max="15369" width="17.140625" customWidth="1"/>
    <col min="15617" max="15617" width="13.85546875" customWidth="1"/>
    <col min="15618" max="15618" width="0.85546875" customWidth="1"/>
    <col min="15619" max="15619" width="28.140625" customWidth="1"/>
    <col min="15620" max="15620" width="0.85546875" customWidth="1"/>
    <col min="15621" max="15621" width="15.42578125" customWidth="1"/>
    <col min="15622" max="15622" width="0.85546875" customWidth="1"/>
    <col min="15623" max="15623" width="30" customWidth="1"/>
    <col min="15624" max="15624" width="0.85546875" customWidth="1"/>
    <col min="15625" max="15625" width="17.140625" customWidth="1"/>
    <col min="15873" max="15873" width="13.85546875" customWidth="1"/>
    <col min="15874" max="15874" width="0.85546875" customWidth="1"/>
    <col min="15875" max="15875" width="28.140625" customWidth="1"/>
    <col min="15876" max="15876" width="0.85546875" customWidth="1"/>
    <col min="15877" max="15877" width="15.42578125" customWidth="1"/>
    <col min="15878" max="15878" width="0.85546875" customWidth="1"/>
    <col min="15879" max="15879" width="30" customWidth="1"/>
    <col min="15880" max="15880" width="0.85546875" customWidth="1"/>
    <col min="15881" max="15881" width="17.140625" customWidth="1"/>
    <col min="16129" max="16129" width="13.85546875" customWidth="1"/>
    <col min="16130" max="16130" width="0.85546875" customWidth="1"/>
    <col min="16131" max="16131" width="28.140625" customWidth="1"/>
    <col min="16132" max="16132" width="0.85546875" customWidth="1"/>
    <col min="16133" max="16133" width="15.42578125" customWidth="1"/>
    <col min="16134" max="16134" width="0.85546875" customWidth="1"/>
    <col min="16135" max="16135" width="30" customWidth="1"/>
    <col min="16136" max="16136" width="0.85546875" customWidth="1"/>
    <col min="16137" max="16137" width="17.140625" customWidth="1"/>
  </cols>
  <sheetData>
    <row r="1" spans="1:10" ht="23.25" x14ac:dyDescent="0.35">
      <c r="A1" s="423" t="s">
        <v>135</v>
      </c>
      <c r="B1" s="424"/>
      <c r="C1" s="424"/>
      <c r="D1" s="424"/>
      <c r="E1" s="424"/>
      <c r="F1" s="424"/>
      <c r="G1" s="424"/>
      <c r="H1" s="424"/>
      <c r="I1" s="424"/>
      <c r="J1" s="425"/>
    </row>
    <row r="2" spans="1:10" ht="8.1" customHeight="1" x14ac:dyDescent="0.25">
      <c r="A2" s="331"/>
      <c r="B2" s="332"/>
      <c r="C2" s="332"/>
      <c r="D2" s="332"/>
      <c r="E2" s="333"/>
      <c r="F2" s="332"/>
      <c r="G2" s="334"/>
      <c r="H2" s="334"/>
      <c r="I2" s="263"/>
      <c r="J2" s="326"/>
    </row>
    <row r="3" spans="1:10" ht="31.5" x14ac:dyDescent="0.25">
      <c r="A3" s="184" t="s">
        <v>80</v>
      </c>
      <c r="B3" s="140"/>
      <c r="C3" s="145" t="s">
        <v>82</v>
      </c>
      <c r="D3" s="144"/>
      <c r="E3" s="143" t="s">
        <v>81</v>
      </c>
      <c r="F3" s="142"/>
      <c r="G3" s="141"/>
      <c r="H3" s="144"/>
      <c r="I3" s="318" t="s">
        <v>80</v>
      </c>
      <c r="J3" s="421" t="s">
        <v>261</v>
      </c>
    </row>
    <row r="4" spans="1:10" ht="15.75" x14ac:dyDescent="0.25">
      <c r="A4" s="185">
        <v>45382</v>
      </c>
      <c r="B4" s="134"/>
      <c r="C4" s="138"/>
      <c r="D4" s="138"/>
      <c r="E4" s="137">
        <v>45747</v>
      </c>
      <c r="F4" s="136"/>
      <c r="G4" s="135"/>
      <c r="H4" s="138"/>
      <c r="I4" s="319">
        <f>SUM('Bank Recon'!B8)</f>
        <v>45646</v>
      </c>
      <c r="J4" s="422"/>
    </row>
    <row r="5" spans="1:10" ht="15.75" x14ac:dyDescent="0.25">
      <c r="A5" s="186" t="s">
        <v>75</v>
      </c>
      <c r="B5" s="131"/>
      <c r="C5" s="128" t="s">
        <v>79</v>
      </c>
      <c r="D5" s="133"/>
      <c r="E5" s="127" t="s">
        <v>75</v>
      </c>
      <c r="F5" s="132"/>
      <c r="G5" s="125" t="s">
        <v>76</v>
      </c>
      <c r="H5" s="133"/>
      <c r="I5" s="320" t="s">
        <v>75</v>
      </c>
      <c r="J5" s="422"/>
    </row>
    <row r="6" spans="1:10" ht="15.75" x14ac:dyDescent="0.25">
      <c r="A6" s="187"/>
      <c r="B6" s="118"/>
      <c r="C6" s="121" t="s">
        <v>136</v>
      </c>
      <c r="D6" s="121"/>
      <c r="E6" s="130">
        <v>5700</v>
      </c>
      <c r="F6" s="120"/>
      <c r="G6" s="119"/>
      <c r="H6" s="121"/>
      <c r="I6" s="330">
        <f>SUM('Bank Account'!AT171)</f>
        <v>1564</v>
      </c>
      <c r="J6" s="335">
        <f>I6/E6</f>
        <v>0.27438596491228068</v>
      </c>
    </row>
    <row r="7" spans="1:10" ht="15.75" x14ac:dyDescent="0.25">
      <c r="A7" s="189"/>
      <c r="B7" s="97"/>
      <c r="C7" s="100" t="s">
        <v>137</v>
      </c>
      <c r="D7" s="100"/>
      <c r="E7" s="102">
        <v>3050</v>
      </c>
      <c r="F7" s="98"/>
      <c r="G7" s="104"/>
      <c r="H7" s="100"/>
      <c r="I7" s="286">
        <f>SUM('Bank Account'!AU171)</f>
        <v>3967.25</v>
      </c>
      <c r="J7" s="285">
        <f t="shared" ref="J7:J10" si="0">I7/E7</f>
        <v>1.3007377049180329</v>
      </c>
    </row>
    <row r="8" spans="1:10" ht="15.75" x14ac:dyDescent="0.25">
      <c r="A8" s="189"/>
      <c r="B8" s="97"/>
      <c r="C8" s="100" t="s">
        <v>138</v>
      </c>
      <c r="D8" s="100"/>
      <c r="E8" s="102">
        <v>150</v>
      </c>
      <c r="F8" s="98"/>
      <c r="G8" s="104"/>
      <c r="H8" s="100"/>
      <c r="I8" s="286">
        <f>SUM('Bank Account'!AV171)</f>
        <v>370</v>
      </c>
      <c r="J8" s="285">
        <f t="shared" si="0"/>
        <v>2.4666666666666668</v>
      </c>
    </row>
    <row r="9" spans="1:10" ht="15.75" x14ac:dyDescent="0.25">
      <c r="A9" s="189"/>
      <c r="B9" s="97"/>
      <c r="C9" s="100" t="s">
        <v>139</v>
      </c>
      <c r="D9" s="100"/>
      <c r="E9" s="102">
        <v>3875</v>
      </c>
      <c r="F9" s="98"/>
      <c r="G9" s="270"/>
      <c r="H9" s="100"/>
      <c r="I9" s="286">
        <f>SUM('Bank Account'!AW171)</f>
        <v>2606.6799999999998</v>
      </c>
      <c r="J9" s="285">
        <f t="shared" si="0"/>
        <v>0.67269161290322577</v>
      </c>
    </row>
    <row r="10" spans="1:10" ht="15.75" x14ac:dyDescent="0.25">
      <c r="A10" s="192">
        <f>SUM(A6:A9)</f>
        <v>0</v>
      </c>
      <c r="B10" s="92"/>
      <c r="C10" s="95" t="s">
        <v>78</v>
      </c>
      <c r="D10" s="95"/>
      <c r="E10" s="129">
        <f>SUM(E6:E9)</f>
        <v>12775</v>
      </c>
      <c r="F10" s="107"/>
      <c r="G10" s="106"/>
      <c r="H10" s="95"/>
      <c r="I10" s="321">
        <f>SUM(I6:I9)</f>
        <v>8507.93</v>
      </c>
      <c r="J10" s="285">
        <f t="shared" si="0"/>
        <v>0.6659827788649707</v>
      </c>
    </row>
    <row r="11" spans="1:10" ht="8.1" customHeight="1" x14ac:dyDescent="0.25">
      <c r="A11" s="189"/>
      <c r="B11" s="97"/>
      <c r="C11" s="100"/>
      <c r="D11" s="100"/>
      <c r="E11" s="102"/>
      <c r="F11" s="98"/>
      <c r="G11" s="104"/>
      <c r="H11" s="100"/>
      <c r="I11" s="286"/>
      <c r="J11" s="326"/>
    </row>
    <row r="12" spans="1:10" ht="15.75" x14ac:dyDescent="0.25">
      <c r="A12" s="186" t="s">
        <v>75</v>
      </c>
      <c r="B12" s="124"/>
      <c r="C12" s="128" t="s">
        <v>77</v>
      </c>
      <c r="D12" s="128"/>
      <c r="E12" s="127" t="s">
        <v>75</v>
      </c>
      <c r="F12" s="126"/>
      <c r="G12" s="125" t="s">
        <v>76</v>
      </c>
      <c r="H12" s="128"/>
      <c r="I12" s="320" t="s">
        <v>75</v>
      </c>
      <c r="J12" s="326"/>
    </row>
    <row r="13" spans="1:10" ht="15.75" customHeight="1" x14ac:dyDescent="0.25">
      <c r="A13" s="193"/>
      <c r="B13" s="118"/>
      <c r="C13" s="271" t="s">
        <v>140</v>
      </c>
      <c r="D13" s="121"/>
      <c r="E13" s="272">
        <v>1600</v>
      </c>
      <c r="F13" s="120"/>
      <c r="G13" s="119"/>
      <c r="H13" s="121"/>
      <c r="I13" s="329">
        <f>SUM('Bank Account'!O171)</f>
        <v>1178.02</v>
      </c>
      <c r="J13" s="336">
        <f>I13/E13</f>
        <v>0.73626250000000004</v>
      </c>
    </row>
    <row r="14" spans="1:10" ht="15.75" customHeight="1" x14ac:dyDescent="0.25">
      <c r="A14" s="194"/>
      <c r="B14" s="118"/>
      <c r="C14" s="271" t="s">
        <v>141</v>
      </c>
      <c r="D14" s="121"/>
      <c r="E14" s="273">
        <v>10000</v>
      </c>
      <c r="F14" s="120"/>
      <c r="G14" s="119"/>
      <c r="H14" s="121"/>
      <c r="I14" s="322">
        <f>SUM('Bank Account'!AK171)</f>
        <v>10105.779999999999</v>
      </c>
      <c r="J14" s="215">
        <f t="shared" ref="J14:J18" si="1">I14/E14</f>
        <v>1.010578</v>
      </c>
    </row>
    <row r="15" spans="1:10" ht="15.75" customHeight="1" x14ac:dyDescent="0.25">
      <c r="A15" s="194"/>
      <c r="B15" s="114"/>
      <c r="C15" s="271" t="s">
        <v>142</v>
      </c>
      <c r="D15" s="117"/>
      <c r="E15" s="273">
        <v>200</v>
      </c>
      <c r="F15" s="115"/>
      <c r="G15" s="104"/>
      <c r="H15" s="117"/>
      <c r="I15" s="322">
        <f>SUM('Bank Account'!AL171)</f>
        <v>64.759999999999991</v>
      </c>
      <c r="J15" s="215">
        <f t="shared" si="1"/>
        <v>0.32379999999999998</v>
      </c>
    </row>
    <row r="16" spans="1:10" ht="15.75" customHeight="1" x14ac:dyDescent="0.25">
      <c r="A16" s="194"/>
      <c r="B16" s="114"/>
      <c r="C16" s="274" t="s">
        <v>143</v>
      </c>
      <c r="D16" s="117"/>
      <c r="E16" s="273">
        <v>300</v>
      </c>
      <c r="F16" s="115"/>
      <c r="G16" s="275"/>
      <c r="H16" s="117"/>
      <c r="I16" s="322">
        <f>SUM('Bank Account'!AM171)</f>
        <v>617.1</v>
      </c>
      <c r="J16" s="215">
        <f t="shared" si="1"/>
        <v>2.0569999999999999</v>
      </c>
    </row>
    <row r="17" spans="1:10" ht="15.75" x14ac:dyDescent="0.25">
      <c r="A17" s="195"/>
      <c r="B17" s="97"/>
      <c r="C17" s="276" t="s">
        <v>144</v>
      </c>
      <c r="D17" s="100"/>
      <c r="E17" s="277">
        <v>750</v>
      </c>
      <c r="F17" s="111"/>
      <c r="G17" s="104"/>
      <c r="H17" s="100"/>
      <c r="I17" s="323">
        <f>SUM('Bank Account'!AN171)</f>
        <v>832.24</v>
      </c>
      <c r="J17" s="215">
        <f t="shared" si="1"/>
        <v>1.1096533333333334</v>
      </c>
    </row>
    <row r="18" spans="1:10" ht="15.75" x14ac:dyDescent="0.25">
      <c r="A18" s="197">
        <f>SUM(A13:A17)</f>
        <v>0</v>
      </c>
      <c r="B18" s="92"/>
      <c r="C18" s="95" t="s">
        <v>70</v>
      </c>
      <c r="D18" s="95"/>
      <c r="E18" s="108">
        <f>SUM(E13:E17)</f>
        <v>12850</v>
      </c>
      <c r="F18" s="107"/>
      <c r="G18" s="106"/>
      <c r="H18" s="95"/>
      <c r="I18" s="382">
        <f>SUM(I13:I17)</f>
        <v>12797.9</v>
      </c>
      <c r="J18" s="215">
        <f t="shared" si="1"/>
        <v>0.99594552529182878</v>
      </c>
    </row>
    <row r="19" spans="1:10" ht="15.75" x14ac:dyDescent="0.25">
      <c r="A19" s="198"/>
      <c r="B19" s="97"/>
      <c r="C19" s="105"/>
      <c r="D19" s="100"/>
      <c r="E19" s="102"/>
      <c r="F19" s="98"/>
      <c r="G19" s="104"/>
      <c r="H19" s="100"/>
      <c r="I19" s="324"/>
      <c r="J19" s="326"/>
    </row>
    <row r="20" spans="1:10" ht="15.75" x14ac:dyDescent="0.25">
      <c r="A20" s="189">
        <f>A10</f>
        <v>0</v>
      </c>
      <c r="B20" s="97"/>
      <c r="C20" s="100" t="s">
        <v>69</v>
      </c>
      <c r="D20" s="100"/>
      <c r="E20" s="102">
        <f>E10</f>
        <v>12775</v>
      </c>
      <c r="F20" s="98"/>
      <c r="G20" s="93" t="s">
        <v>68</v>
      </c>
      <c r="H20" s="100"/>
      <c r="I20" s="286">
        <f>I10</f>
        <v>8507.93</v>
      </c>
      <c r="J20" s="326"/>
    </row>
    <row r="21" spans="1:10" ht="15.75" x14ac:dyDescent="0.25">
      <c r="A21" s="199">
        <f>-A18</f>
        <v>0</v>
      </c>
      <c r="B21" s="97"/>
      <c r="C21" s="100" t="s">
        <v>67</v>
      </c>
      <c r="D21" s="100"/>
      <c r="E21" s="99">
        <f>-E18</f>
        <v>-12850</v>
      </c>
      <c r="F21" s="98"/>
      <c r="G21" s="93" t="s">
        <v>66</v>
      </c>
      <c r="H21" s="100"/>
      <c r="I21" s="325">
        <f>-I18</f>
        <v>-12797.9</v>
      </c>
      <c r="J21" s="326"/>
    </row>
    <row r="22" spans="1:10" ht="15.75" x14ac:dyDescent="0.25">
      <c r="A22" s="278">
        <f>SUM(A20:A21)</f>
        <v>0</v>
      </c>
      <c r="B22" s="178"/>
      <c r="C22" s="279" t="s">
        <v>65</v>
      </c>
      <c r="D22" s="279"/>
      <c r="E22" s="280">
        <f>SUM(E20:E21)</f>
        <v>-75</v>
      </c>
      <c r="F22" s="281"/>
      <c r="G22" s="282" t="s">
        <v>64</v>
      </c>
      <c r="H22" s="279"/>
      <c r="I22" s="327">
        <f>SUM(I20:I21)</f>
        <v>-4289.9699999999993</v>
      </c>
      <c r="J22" s="328"/>
    </row>
    <row r="23" spans="1:10" ht="9" customHeight="1" x14ac:dyDescent="0.25"/>
    <row r="27" spans="1:10" s="85" customFormat="1" x14ac:dyDescent="0.25">
      <c r="A27"/>
      <c r="B27"/>
      <c r="C27"/>
      <c r="D27"/>
      <c r="E27"/>
      <c r="F27"/>
      <c r="G27"/>
      <c r="H27"/>
      <c r="I27"/>
      <c r="J27" s="284"/>
    </row>
  </sheetData>
  <mergeCells count="2">
    <mergeCell ref="J3:J5"/>
    <mergeCell ref="A1:J1"/>
  </mergeCells>
  <conditionalFormatting sqref="J6:J10">
    <cfRule type="cellIs" dxfId="28" priority="4" operator="between">
      <formula>0</formula>
      <formula>0.74</formula>
    </cfRule>
    <cfRule type="cellIs" dxfId="27" priority="5" operator="between">
      <formula>0.75</formula>
      <formula>0.99</formula>
    </cfRule>
    <cfRule type="cellIs" dxfId="26" priority="6" operator="greaterThan">
      <formula>1</formula>
    </cfRule>
  </conditionalFormatting>
  <conditionalFormatting sqref="J13:J18">
    <cfRule type="cellIs" dxfId="25" priority="1" operator="between">
      <formula>0</formula>
      <formula>0.74</formula>
    </cfRule>
    <cfRule type="cellIs" dxfId="24" priority="2" operator="between">
      <formula>0.75</formula>
      <formula>0.99</formula>
    </cfRule>
    <cfRule type="cellIs" dxfId="23" priority="3" operator="greaterThan">
      <formula>1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BD4B8-B935-4678-8FA0-E2CE9FEF96CD}">
  <sheetPr codeName="Sheet3"/>
  <dimension ref="A1:F27"/>
  <sheetViews>
    <sheetView workbookViewId="0">
      <selection activeCell="D25" sqref="D25"/>
    </sheetView>
  </sheetViews>
  <sheetFormatPr defaultRowHeight="15" x14ac:dyDescent="0.25"/>
  <cols>
    <col min="1" max="1" width="22.7109375" customWidth="1"/>
    <col min="2" max="2" width="14.28515625" bestFit="1" customWidth="1"/>
    <col min="3" max="4" width="20.140625" customWidth="1"/>
    <col min="5" max="5" width="36.85546875" customWidth="1"/>
    <col min="6" max="6" width="20.140625" customWidth="1"/>
  </cols>
  <sheetData>
    <row r="1" spans="1:6" x14ac:dyDescent="0.25">
      <c r="A1" s="263" t="s">
        <v>112</v>
      </c>
      <c r="B1" s="264">
        <f>SUM('Bank Recon'!C10)</f>
        <v>7038.33</v>
      </c>
      <c r="C1" s="263"/>
      <c r="D1" s="263"/>
      <c r="E1" s="263"/>
      <c r="F1" s="263"/>
    </row>
    <row r="2" spans="1:6" x14ac:dyDescent="0.25">
      <c r="A2" s="263" t="s">
        <v>131</v>
      </c>
      <c r="B2" s="264">
        <f>SUM('Bank Recon'!C11)</f>
        <v>16959.68</v>
      </c>
      <c r="C2" s="263"/>
      <c r="D2" s="263"/>
      <c r="E2" s="263"/>
      <c r="F2" s="263"/>
    </row>
    <row r="3" spans="1:6" ht="18.75" x14ac:dyDescent="0.3">
      <c r="A3" s="426" t="s">
        <v>150</v>
      </c>
      <c r="B3" s="426"/>
      <c r="C3" s="263"/>
      <c r="D3" s="263"/>
      <c r="E3" s="263"/>
      <c r="F3" s="263"/>
    </row>
    <row r="4" spans="1:6" x14ac:dyDescent="0.25">
      <c r="A4" s="263"/>
      <c r="B4" s="263"/>
      <c r="C4" s="263"/>
      <c r="D4" s="263"/>
      <c r="E4" s="263"/>
      <c r="F4" s="263"/>
    </row>
    <row r="5" spans="1:6" x14ac:dyDescent="0.25">
      <c r="A5" s="263"/>
      <c r="B5" s="263"/>
      <c r="C5" s="265" t="s">
        <v>113</v>
      </c>
      <c r="D5" s="265" t="s">
        <v>114</v>
      </c>
      <c r="E5" s="265" t="s">
        <v>115</v>
      </c>
      <c r="F5" s="265" t="s">
        <v>116</v>
      </c>
    </row>
    <row r="6" spans="1:6" x14ac:dyDescent="0.25">
      <c r="A6" s="430" t="s">
        <v>117</v>
      </c>
      <c r="B6" s="431"/>
      <c r="C6" s="431"/>
      <c r="D6" s="352"/>
      <c r="E6" s="352"/>
      <c r="F6" s="352"/>
    </row>
    <row r="7" spans="1:6" x14ac:dyDescent="0.25">
      <c r="A7" s="237" t="s">
        <v>118</v>
      </c>
      <c r="B7" s="238">
        <v>2400</v>
      </c>
      <c r="C7" s="239">
        <f>SUM(B7-D7)</f>
        <v>2400</v>
      </c>
      <c r="D7" s="239"/>
      <c r="E7" s="3"/>
      <c r="F7" s="3"/>
    </row>
    <row r="8" spans="1:6" x14ac:dyDescent="0.25">
      <c r="A8" s="237" t="s">
        <v>119</v>
      </c>
      <c r="B8" s="238">
        <v>500</v>
      </c>
      <c r="C8" s="239">
        <f>SUM(B8-D8)</f>
        <v>500</v>
      </c>
      <c r="D8" s="239"/>
      <c r="E8" s="3"/>
      <c r="F8" s="3"/>
    </row>
    <row r="9" spans="1:6" x14ac:dyDescent="0.25">
      <c r="A9" s="240" t="s">
        <v>120</v>
      </c>
      <c r="B9" s="241">
        <f t="shared" ref="B9" si="0">SUM(B7:B8)</f>
        <v>2900</v>
      </c>
      <c r="C9" s="239">
        <f>SUM(C7:C8)</f>
        <v>2900</v>
      </c>
      <c r="D9" s="239"/>
      <c r="E9" s="3"/>
      <c r="F9" s="3"/>
    </row>
    <row r="10" spans="1:6" x14ac:dyDescent="0.25">
      <c r="A10" s="432" t="s">
        <v>121</v>
      </c>
      <c r="B10" s="433"/>
      <c r="C10" s="433"/>
      <c r="D10" s="353"/>
      <c r="E10" s="353"/>
      <c r="F10" s="354"/>
    </row>
    <row r="11" spans="1:6" ht="60" x14ac:dyDescent="0.25">
      <c r="A11" s="242" t="s">
        <v>122</v>
      </c>
      <c r="B11" s="243">
        <v>1500</v>
      </c>
      <c r="C11" s="239">
        <f>SUM(B11-D11)</f>
        <v>261.6400000000001</v>
      </c>
      <c r="D11" s="239">
        <v>1238.3599999999999</v>
      </c>
      <c r="E11" s="397" t="s">
        <v>537</v>
      </c>
      <c r="F11" s="397" t="s">
        <v>538</v>
      </c>
    </row>
    <row r="12" spans="1:6" x14ac:dyDescent="0.25">
      <c r="A12" s="242" t="s">
        <v>123</v>
      </c>
      <c r="B12" s="243">
        <v>600</v>
      </c>
      <c r="C12" s="239">
        <f>SUM(B12-D12)</f>
        <v>141.68</v>
      </c>
      <c r="D12" s="239">
        <v>458.32</v>
      </c>
      <c r="E12" s="3" t="s">
        <v>588</v>
      </c>
      <c r="F12" s="3" t="s">
        <v>586</v>
      </c>
    </row>
    <row r="13" spans="1:6" x14ac:dyDescent="0.25">
      <c r="A13" s="244" t="s">
        <v>120</v>
      </c>
      <c r="B13" s="245">
        <f t="shared" ref="B13" si="1">SUM(B11:B12)</f>
        <v>2100</v>
      </c>
      <c r="C13" s="239">
        <f>SUM(C11:C12)</f>
        <v>403.32000000000011</v>
      </c>
      <c r="D13" s="239"/>
      <c r="E13" s="3"/>
      <c r="F13" s="3"/>
    </row>
    <row r="14" spans="1:6" x14ac:dyDescent="0.25">
      <c r="A14" s="259" t="s">
        <v>126</v>
      </c>
      <c r="B14" s="348">
        <f>SUM(B13,B9)</f>
        <v>5000</v>
      </c>
      <c r="C14" s="349">
        <f>SUM(C13,C9)</f>
        <v>3303.32</v>
      </c>
      <c r="D14" s="260"/>
      <c r="E14" s="261"/>
      <c r="F14" s="262"/>
    </row>
    <row r="15" spans="1:6" x14ac:dyDescent="0.25">
      <c r="A15" s="428" t="s">
        <v>125</v>
      </c>
      <c r="B15" s="429"/>
      <c r="C15" s="429"/>
      <c r="D15" s="350"/>
      <c r="E15" s="350"/>
      <c r="F15" s="351"/>
    </row>
    <row r="16" spans="1:6" x14ac:dyDescent="0.25">
      <c r="A16" s="246" t="s">
        <v>151</v>
      </c>
      <c r="B16" s="247">
        <v>370</v>
      </c>
      <c r="C16" s="239">
        <f>SUM(B16-D16)</f>
        <v>370</v>
      </c>
      <c r="D16" s="239"/>
      <c r="E16" s="3"/>
      <c r="F16" s="3"/>
    </row>
    <row r="17" spans="1:6" ht="60" x14ac:dyDescent="0.25">
      <c r="A17" s="246" t="s">
        <v>152</v>
      </c>
      <c r="B17" s="247">
        <v>7135</v>
      </c>
      <c r="C17" s="239">
        <f t="shared" ref="C17:C20" si="2">SUM(B17-D17)</f>
        <v>5143</v>
      </c>
      <c r="D17" s="239">
        <v>1992</v>
      </c>
      <c r="E17" s="337" t="s">
        <v>661</v>
      </c>
      <c r="F17" s="337" t="s">
        <v>539</v>
      </c>
    </row>
    <row r="18" spans="1:6" x14ac:dyDescent="0.25">
      <c r="A18" s="246" t="s">
        <v>71</v>
      </c>
      <c r="B18" s="247">
        <v>500</v>
      </c>
      <c r="C18" s="239">
        <f t="shared" si="2"/>
        <v>500</v>
      </c>
      <c r="D18" s="3"/>
      <c r="E18" s="3"/>
      <c r="F18" s="3"/>
    </row>
    <row r="19" spans="1:6" x14ac:dyDescent="0.25">
      <c r="A19" s="246" t="s">
        <v>153</v>
      </c>
      <c r="B19" s="247">
        <v>1500</v>
      </c>
      <c r="C19" s="239">
        <f t="shared" si="2"/>
        <v>1500</v>
      </c>
      <c r="D19" s="3"/>
      <c r="E19" s="3"/>
      <c r="F19" s="3"/>
    </row>
    <row r="20" spans="1:6" x14ac:dyDescent="0.25">
      <c r="A20" s="246" t="s">
        <v>132</v>
      </c>
      <c r="B20" s="247">
        <v>300</v>
      </c>
      <c r="C20" s="239">
        <f t="shared" si="2"/>
        <v>80</v>
      </c>
      <c r="D20" s="239">
        <v>220</v>
      </c>
      <c r="E20" s="3" t="s">
        <v>575</v>
      </c>
      <c r="F20" s="3" t="s">
        <v>560</v>
      </c>
    </row>
    <row r="21" spans="1:6" x14ac:dyDescent="0.25">
      <c r="A21" s="287" t="s">
        <v>120</v>
      </c>
      <c r="B21" s="288">
        <f>SUM(B16:B20)</f>
        <v>9805</v>
      </c>
      <c r="C21" s="288">
        <f>SUM(C16:C20)</f>
        <v>7593</v>
      </c>
      <c r="D21" s="269"/>
    </row>
    <row r="22" spans="1:6" x14ac:dyDescent="0.25">
      <c r="A22" s="248" t="s">
        <v>124</v>
      </c>
      <c r="B22" s="249">
        <f>SUM(B9,B13,B21)</f>
        <v>14805</v>
      </c>
      <c r="C22" s="249">
        <f>SUM(C9,C13,C21)</f>
        <v>10896.32</v>
      </c>
    </row>
    <row r="24" spans="1:6" x14ac:dyDescent="0.25">
      <c r="A24" s="427" t="s">
        <v>154</v>
      </c>
      <c r="B24" s="427"/>
      <c r="D24" t="s">
        <v>667</v>
      </c>
      <c r="E24" s="269">
        <f>SUM(B1-B14)</f>
        <v>2038.33</v>
      </c>
    </row>
    <row r="25" spans="1:6" x14ac:dyDescent="0.25">
      <c r="A25" s="3" t="s">
        <v>155</v>
      </c>
      <c r="B25" s="289">
        <f>SUM('Hall 2024-25 Running'!I18)</f>
        <v>12797.9</v>
      </c>
      <c r="D25" t="s">
        <v>666</v>
      </c>
      <c r="E25" s="269">
        <f>SUM(B2-C22)</f>
        <v>6063.3600000000006</v>
      </c>
    </row>
    <row r="26" spans="1:6" x14ac:dyDescent="0.25">
      <c r="A26" s="3" t="s">
        <v>26</v>
      </c>
      <c r="B26" s="289">
        <f>SUM('Hall 2024-25 Running'!I10)</f>
        <v>8507.93</v>
      </c>
    </row>
    <row r="27" spans="1:6" x14ac:dyDescent="0.25">
      <c r="A27" s="3" t="s">
        <v>34</v>
      </c>
      <c r="B27" s="289">
        <f>B26-B25</f>
        <v>-4289.9699999999993</v>
      </c>
    </row>
  </sheetData>
  <mergeCells count="5">
    <mergeCell ref="A3:B3"/>
    <mergeCell ref="A24:B24"/>
    <mergeCell ref="A15:C15"/>
    <mergeCell ref="A6:C6"/>
    <mergeCell ref="A10:C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69EB8-9CCA-4D03-B8EF-A9EA110EF6FF}">
  <sheetPr>
    <pageSetUpPr fitToPage="1"/>
  </sheetPr>
  <dimension ref="A1:XFB180"/>
  <sheetViews>
    <sheetView zoomScale="90" zoomScaleNormal="90" workbookViewId="0">
      <pane ySplit="3" topLeftCell="A132" activePane="bottomLeft" state="frozen"/>
      <selection activeCell="D25" sqref="D25"/>
      <selection pane="bottomLeft" activeCell="D25" sqref="D25"/>
    </sheetView>
  </sheetViews>
  <sheetFormatPr defaultColWidth="9.140625" defaultRowHeight="15" customHeight="1" x14ac:dyDescent="0.25"/>
  <cols>
    <col min="1" max="1" width="4.85546875" style="338" customWidth="1"/>
    <col min="2" max="2" width="12.7109375" style="1" customWidth="1"/>
    <col min="3" max="3" width="20.140625" style="48" customWidth="1"/>
    <col min="4" max="4" width="18.85546875" style="1" customWidth="1"/>
    <col min="5" max="5" width="27.42578125" style="1" customWidth="1"/>
    <col min="6" max="6" width="11.42578125" style="2" customWidth="1"/>
    <col min="7" max="7" width="11.42578125" style="356" customWidth="1"/>
    <col min="8" max="10" width="11.42578125" style="2" customWidth="1"/>
    <col min="11" max="11" width="13.140625" style="393" customWidth="1"/>
    <col min="12" max="12" width="11.42578125" style="2" customWidth="1"/>
    <col min="13" max="13" width="11" style="8" customWidth="1"/>
    <col min="14" max="14" width="11" style="53" customWidth="1"/>
    <col min="15" max="15" width="10.28515625" style="53" customWidth="1"/>
    <col min="16" max="16" width="9.28515625" style="53" customWidth="1"/>
    <col min="17" max="17" width="13.140625" style="7" customWidth="1"/>
    <col min="18" max="18" width="13" style="53" customWidth="1"/>
    <col min="19" max="19" width="7.7109375" style="7" customWidth="1"/>
    <col min="20" max="20" width="7.7109375" style="53" customWidth="1"/>
    <col min="21" max="21" width="8.85546875" style="53" customWidth="1"/>
    <col min="22" max="22" width="7.7109375" style="53" customWidth="1"/>
    <col min="23" max="23" width="9.5703125" style="7" customWidth="1"/>
    <col min="24" max="24" width="8.85546875" style="7" customWidth="1"/>
    <col min="25" max="28" width="7.7109375" style="7" customWidth="1"/>
    <col min="29" max="29" width="10.28515625" style="7" customWidth="1"/>
    <col min="30" max="31" width="7.7109375" style="7" customWidth="1"/>
    <col min="32" max="32" width="9.7109375" style="7" customWidth="1"/>
    <col min="33" max="33" width="9.5703125" style="7" customWidth="1"/>
    <col min="34" max="35" width="7.7109375" style="7" customWidth="1"/>
    <col min="36" max="36" width="9.7109375" style="7" customWidth="1"/>
    <col min="37" max="37" width="11" style="7" customWidth="1"/>
    <col min="38" max="38" width="7.7109375" style="7" customWidth="1"/>
    <col min="39" max="39" width="11.85546875" style="7" customWidth="1"/>
    <col min="40" max="40" width="12" style="7" customWidth="1"/>
    <col min="41" max="41" width="11.85546875" style="1" customWidth="1"/>
    <col min="42" max="42" width="9.140625" style="1" customWidth="1"/>
    <col min="43" max="43" width="11.85546875" style="53" customWidth="1"/>
    <col min="44" max="44" width="12" style="53" customWidth="1"/>
    <col min="45" max="45" width="9.140625" style="53"/>
    <col min="46" max="46" width="10.7109375" style="53" customWidth="1"/>
    <col min="47" max="47" width="11" style="53" customWidth="1"/>
    <col min="48" max="48" width="9.140625" style="53"/>
    <col min="49" max="49" width="11.140625" style="53" customWidth="1"/>
    <col min="50" max="50" width="9.140625" style="53"/>
    <col min="51" max="51" width="11.42578125" style="53" customWidth="1"/>
    <col min="52" max="52" width="13.7109375" style="53" customWidth="1"/>
    <col min="53" max="53" width="13.42578125" style="1" customWidth="1"/>
    <col min="54" max="16384" width="9.140625" style="1"/>
  </cols>
  <sheetData>
    <row r="1" spans="1:53" ht="15" customHeight="1" x14ac:dyDescent="0.25">
      <c r="B1" s="5" t="s">
        <v>13</v>
      </c>
      <c r="C1" s="379"/>
      <c r="K1" s="1"/>
    </row>
    <row r="2" spans="1:53" ht="15.75" customHeight="1" x14ac:dyDescent="0.25">
      <c r="B2" s="5"/>
      <c r="C2" s="379"/>
      <c r="K2" s="1"/>
      <c r="N2" s="434" t="s">
        <v>14</v>
      </c>
      <c r="O2" s="434"/>
      <c r="P2" s="434"/>
      <c r="Q2" s="434"/>
      <c r="R2" s="435"/>
      <c r="S2" s="435"/>
      <c r="T2" s="435"/>
      <c r="U2" s="435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15"/>
    </row>
    <row r="3" spans="1:53" ht="75" customHeight="1" x14ac:dyDescent="0.25">
      <c r="B3" s="357" t="s">
        <v>0</v>
      </c>
      <c r="C3" s="48" t="s">
        <v>1</v>
      </c>
      <c r="D3" s="1" t="s">
        <v>15</v>
      </c>
      <c r="E3" s="1" t="s">
        <v>16</v>
      </c>
      <c r="F3" s="2" t="s">
        <v>487</v>
      </c>
      <c r="G3" s="358" t="s">
        <v>23</v>
      </c>
      <c r="H3" s="56" t="s">
        <v>57</v>
      </c>
      <c r="I3" s="56" t="s">
        <v>3</v>
      </c>
      <c r="J3" s="59" t="s">
        <v>4</v>
      </c>
      <c r="K3" s="394" t="s">
        <v>490</v>
      </c>
      <c r="L3" s="61" t="s">
        <v>5</v>
      </c>
      <c r="M3" s="61" t="s">
        <v>105</v>
      </c>
      <c r="N3" s="62" t="s">
        <v>17</v>
      </c>
      <c r="O3" s="383" t="s">
        <v>497</v>
      </c>
      <c r="P3" s="62" t="s">
        <v>50</v>
      </c>
      <c r="Q3" s="62" t="s">
        <v>51</v>
      </c>
      <c r="R3" s="64" t="s">
        <v>156</v>
      </c>
      <c r="S3" s="63" t="s">
        <v>157</v>
      </c>
      <c r="T3" s="64" t="s">
        <v>158</v>
      </c>
      <c r="U3" s="63" t="s">
        <v>159</v>
      </c>
      <c r="V3" s="63" t="s">
        <v>168</v>
      </c>
      <c r="W3" s="63" t="s">
        <v>18</v>
      </c>
      <c r="X3" s="63" t="s">
        <v>160</v>
      </c>
      <c r="Y3" s="63" t="s">
        <v>161</v>
      </c>
      <c r="Z3" s="64" t="s">
        <v>162</v>
      </c>
      <c r="AA3" s="64" t="s">
        <v>73</v>
      </c>
      <c r="AB3" s="64" t="s">
        <v>72</v>
      </c>
      <c r="AC3" s="64" t="s">
        <v>163</v>
      </c>
      <c r="AD3" s="64" t="s">
        <v>165</v>
      </c>
      <c r="AE3" s="64" t="s">
        <v>145</v>
      </c>
      <c r="AF3" s="64" t="s">
        <v>164</v>
      </c>
      <c r="AG3" s="64" t="s">
        <v>166</v>
      </c>
      <c r="AH3" s="64" t="s">
        <v>71</v>
      </c>
      <c r="AI3" s="64" t="s">
        <v>94</v>
      </c>
      <c r="AJ3" s="64" t="s">
        <v>121</v>
      </c>
      <c r="AK3" s="290" t="s">
        <v>185</v>
      </c>
      <c r="AL3" s="290" t="s">
        <v>142</v>
      </c>
      <c r="AM3" s="290" t="s">
        <v>143</v>
      </c>
      <c r="AN3" s="290" t="s">
        <v>144</v>
      </c>
      <c r="AO3" s="60"/>
      <c r="AQ3" s="359" t="s">
        <v>6</v>
      </c>
      <c r="AR3" s="359" t="s">
        <v>47</v>
      </c>
      <c r="AS3" s="359" t="s">
        <v>133</v>
      </c>
      <c r="AT3" s="359" t="s">
        <v>136</v>
      </c>
      <c r="AU3" s="359" t="s">
        <v>137</v>
      </c>
      <c r="AV3" s="359" t="s">
        <v>489</v>
      </c>
      <c r="AW3" s="359" t="s">
        <v>148</v>
      </c>
      <c r="AX3" s="359" t="s">
        <v>53</v>
      </c>
      <c r="AY3" s="359" t="s">
        <v>500</v>
      </c>
      <c r="AZ3" s="359" t="s">
        <v>8</v>
      </c>
    </row>
    <row r="4" spans="1:53" ht="15" customHeight="1" x14ac:dyDescent="0.25">
      <c r="G4" s="358"/>
      <c r="H4" s="56">
        <f>'Bank Recon'!D25</f>
        <v>7260.44</v>
      </c>
      <c r="I4" s="56"/>
      <c r="J4" s="56"/>
      <c r="K4" s="395"/>
      <c r="L4" s="56"/>
      <c r="M4" s="20"/>
      <c r="N4" s="54"/>
      <c r="O4" s="54"/>
      <c r="P4" s="54"/>
      <c r="Q4" s="21"/>
      <c r="R4" s="55"/>
      <c r="S4" s="22"/>
      <c r="T4" s="55"/>
      <c r="U4" s="55"/>
      <c r="V4" s="55"/>
      <c r="W4" s="22"/>
      <c r="X4" s="22"/>
      <c r="Y4" s="22"/>
      <c r="Z4" s="22"/>
      <c r="AA4" s="22"/>
      <c r="AB4" s="22"/>
      <c r="AC4" s="22"/>
      <c r="AD4" s="22"/>
      <c r="AE4" s="23"/>
      <c r="AF4" s="22"/>
      <c r="AG4" s="22"/>
      <c r="AH4" s="22"/>
      <c r="AI4" s="22"/>
      <c r="AJ4" s="22"/>
      <c r="AK4" s="22"/>
      <c r="AL4" s="22"/>
      <c r="AM4" s="21"/>
      <c r="AN4" s="21"/>
      <c r="AO4" s="2"/>
    </row>
    <row r="5" spans="1:53" ht="15" customHeight="1" x14ac:dyDescent="0.25">
      <c r="B5" s="1" t="s">
        <v>0</v>
      </c>
      <c r="D5" s="1" t="s">
        <v>9</v>
      </c>
      <c r="E5" s="1" t="s">
        <v>16</v>
      </c>
      <c r="G5" s="358" t="s">
        <v>2</v>
      </c>
      <c r="H5" s="56"/>
      <c r="I5" s="56" t="s">
        <v>3</v>
      </c>
      <c r="J5" s="56" t="s">
        <v>4</v>
      </c>
      <c r="K5" s="395"/>
      <c r="L5" s="56"/>
    </row>
    <row r="6" spans="1:53" ht="15" customHeight="1" x14ac:dyDescent="0.25">
      <c r="A6" s="338" t="s">
        <v>85</v>
      </c>
      <c r="B6" s="13" t="s">
        <v>189</v>
      </c>
      <c r="C6" s="392">
        <v>1623867</v>
      </c>
      <c r="D6" s="1" t="s">
        <v>190</v>
      </c>
      <c r="E6" s="1" t="s">
        <v>191</v>
      </c>
      <c r="G6" s="373">
        <v>9.5299999999999994</v>
      </c>
      <c r="H6" s="56">
        <f>IF($F6&gt;0,$H$4+$F6,IF($G6&gt;0,$H$4-$G6,$H$4))</f>
        <v>7250.91</v>
      </c>
      <c r="I6" s="7">
        <v>1.59</v>
      </c>
      <c r="J6" s="2">
        <f>G6-I6</f>
        <v>7.9399999999999995</v>
      </c>
      <c r="K6" s="393">
        <v>917823212</v>
      </c>
      <c r="L6" s="2" t="s">
        <v>209</v>
      </c>
      <c r="M6" s="172" t="s">
        <v>231</v>
      </c>
      <c r="X6" s="7">
        <v>7.94</v>
      </c>
      <c r="AO6" s="2">
        <f>SUM(N6:AN6)</f>
        <v>7.94</v>
      </c>
      <c r="BA6" s="53">
        <f t="shared" ref="BA6:BA37" si="0">SUM(AQ6:AZ6)</f>
        <v>0</v>
      </c>
    </row>
    <row r="7" spans="1:53" s="2" customFormat="1" ht="15" customHeight="1" x14ac:dyDescent="0.25">
      <c r="A7" s="406" t="s">
        <v>481</v>
      </c>
      <c r="B7" s="2" t="s">
        <v>482</v>
      </c>
      <c r="C7" s="48" t="s">
        <v>210</v>
      </c>
      <c r="D7" s="2" t="s">
        <v>192</v>
      </c>
      <c r="E7" s="2" t="s">
        <v>193</v>
      </c>
      <c r="F7" s="2">
        <v>1272.27</v>
      </c>
      <c r="H7" s="2">
        <f>IF($F7&gt;0,$H6+$F7,IF($G7&gt;0,$H6-$G7,$H6))</f>
        <v>8523.18</v>
      </c>
      <c r="K7" s="393"/>
      <c r="L7" s="2" t="s">
        <v>194</v>
      </c>
      <c r="M7" s="2" t="s">
        <v>231</v>
      </c>
      <c r="AU7" s="2">
        <v>638.75</v>
      </c>
      <c r="AW7" s="2">
        <v>633.52</v>
      </c>
      <c r="BA7" s="2">
        <f t="shared" si="0"/>
        <v>1272.27</v>
      </c>
    </row>
    <row r="8" spans="1:53" ht="15" customHeight="1" x14ac:dyDescent="0.25">
      <c r="A8" s="338" t="s">
        <v>86</v>
      </c>
      <c r="B8" s="13" t="s">
        <v>195</v>
      </c>
      <c r="C8" s="15" t="s">
        <v>291</v>
      </c>
      <c r="D8" s="1" t="s">
        <v>197</v>
      </c>
      <c r="E8" s="1" t="s">
        <v>198</v>
      </c>
      <c r="F8" s="56"/>
      <c r="G8" s="373">
        <v>126.67</v>
      </c>
      <c r="H8" s="56">
        <f t="shared" ref="H8:H19" si="1">IF($F8&gt;0,$H7+$F8,IF($G8&gt;0,$H7-$G8,$H7))</f>
        <v>8396.51</v>
      </c>
      <c r="I8" s="7">
        <v>0</v>
      </c>
      <c r="J8" s="2">
        <f>G8-I8</f>
        <v>126.67</v>
      </c>
      <c r="L8" s="2" t="s">
        <v>220</v>
      </c>
      <c r="M8" s="172" t="s">
        <v>231</v>
      </c>
      <c r="O8" s="53">
        <v>126.67</v>
      </c>
      <c r="AO8" s="2">
        <f>SUM(N8:AN8)</f>
        <v>126.67</v>
      </c>
      <c r="BA8" s="53">
        <f t="shared" si="0"/>
        <v>0</v>
      </c>
    </row>
    <row r="9" spans="1:53" s="2" customFormat="1" ht="15" customHeight="1" x14ac:dyDescent="0.25">
      <c r="A9" s="406" t="s">
        <v>95</v>
      </c>
      <c r="B9" s="2" t="s">
        <v>195</v>
      </c>
      <c r="C9" s="48"/>
      <c r="D9" s="2" t="s">
        <v>94</v>
      </c>
      <c r="E9" s="2" t="s">
        <v>196</v>
      </c>
      <c r="F9" s="2">
        <v>435.32</v>
      </c>
      <c r="H9" s="2">
        <f t="shared" si="1"/>
        <v>8831.83</v>
      </c>
      <c r="K9" s="393"/>
      <c r="L9" s="2" t="s">
        <v>194</v>
      </c>
      <c r="M9" s="2" t="s">
        <v>231</v>
      </c>
      <c r="AZ9" s="2">
        <v>435.32</v>
      </c>
      <c r="BA9" s="2">
        <f t="shared" si="0"/>
        <v>435.32</v>
      </c>
    </row>
    <row r="10" spans="1:53" ht="15" customHeight="1" x14ac:dyDescent="0.25">
      <c r="A10" s="338" t="s">
        <v>91</v>
      </c>
      <c r="B10" s="13" t="s">
        <v>199</v>
      </c>
      <c r="C10" s="15">
        <v>610146</v>
      </c>
      <c r="D10" s="1" t="s">
        <v>208</v>
      </c>
      <c r="E10" s="1" t="s">
        <v>185</v>
      </c>
      <c r="G10" s="373">
        <v>7725.55</v>
      </c>
      <c r="H10" s="56">
        <f t="shared" si="1"/>
        <v>1106.2799999999997</v>
      </c>
      <c r="I10" s="7">
        <v>1900.26</v>
      </c>
      <c r="J10" s="2">
        <f>G10-I10</f>
        <v>5825.29</v>
      </c>
      <c r="K10" s="393">
        <v>553769603</v>
      </c>
      <c r="L10" s="2" t="s">
        <v>226</v>
      </c>
      <c r="M10" s="172" t="s">
        <v>231</v>
      </c>
      <c r="AK10" s="7">
        <v>5825.29</v>
      </c>
      <c r="AO10" s="2">
        <f>SUM(N10:AN10)</f>
        <v>5825.29</v>
      </c>
      <c r="BA10" s="53">
        <f t="shared" si="0"/>
        <v>0</v>
      </c>
    </row>
    <row r="11" spans="1:53" ht="15" customHeight="1" x14ac:dyDescent="0.25">
      <c r="A11" s="338" t="s">
        <v>89</v>
      </c>
      <c r="B11" s="13" t="s">
        <v>199</v>
      </c>
      <c r="C11" s="392"/>
      <c r="D11" s="1" t="s">
        <v>204</v>
      </c>
      <c r="E11" s="1" t="s">
        <v>205</v>
      </c>
      <c r="F11" s="56"/>
      <c r="G11" s="373">
        <v>20</v>
      </c>
      <c r="H11" s="56">
        <f t="shared" si="1"/>
        <v>1086.2799999999997</v>
      </c>
      <c r="I11" s="7">
        <v>0</v>
      </c>
      <c r="J11" s="2">
        <f>G11-I11</f>
        <v>20</v>
      </c>
      <c r="L11" s="2" t="s">
        <v>194</v>
      </c>
      <c r="M11" s="172" t="s">
        <v>231</v>
      </c>
      <c r="W11" s="7">
        <v>20</v>
      </c>
      <c r="AO11" s="2">
        <f>SUM(N11:AN11)</f>
        <v>20</v>
      </c>
      <c r="BA11" s="53">
        <f t="shared" si="0"/>
        <v>0</v>
      </c>
    </row>
    <row r="12" spans="1:53" ht="15" customHeight="1" x14ac:dyDescent="0.25">
      <c r="A12" s="338" t="s">
        <v>88</v>
      </c>
      <c r="B12" s="13" t="s">
        <v>199</v>
      </c>
      <c r="C12" s="392"/>
      <c r="D12" s="1" t="s">
        <v>202</v>
      </c>
      <c r="E12" s="1" t="s">
        <v>203</v>
      </c>
      <c r="F12" s="56"/>
      <c r="G12" s="373">
        <v>20.3</v>
      </c>
      <c r="H12" s="56">
        <f t="shared" si="1"/>
        <v>1065.9799999999998</v>
      </c>
      <c r="I12" s="7">
        <v>0</v>
      </c>
      <c r="J12" s="2">
        <f>G12-I12</f>
        <v>20.3</v>
      </c>
      <c r="L12" s="2" t="s">
        <v>194</v>
      </c>
      <c r="M12" s="172" t="s">
        <v>231</v>
      </c>
      <c r="Q12" s="7">
        <v>20.3</v>
      </c>
      <c r="AO12" s="2">
        <f>SUM(N12:AN12)</f>
        <v>20.3</v>
      </c>
      <c r="BA12" s="53">
        <f t="shared" si="0"/>
        <v>0</v>
      </c>
    </row>
    <row r="13" spans="1:53" ht="15" customHeight="1" x14ac:dyDescent="0.25">
      <c r="A13" s="338" t="s">
        <v>87</v>
      </c>
      <c r="B13" s="13" t="s">
        <v>199</v>
      </c>
      <c r="C13" s="392">
        <v>20803</v>
      </c>
      <c r="D13" s="1" t="s">
        <v>200</v>
      </c>
      <c r="E13" s="1" t="s">
        <v>201</v>
      </c>
      <c r="F13" s="56"/>
      <c r="G13" s="373">
        <v>125</v>
      </c>
      <c r="H13" s="56">
        <f t="shared" si="1"/>
        <v>940.97999999999979</v>
      </c>
      <c r="I13" s="7">
        <v>0</v>
      </c>
      <c r="J13" s="2">
        <f>G13-I13</f>
        <v>125</v>
      </c>
      <c r="L13" s="2" t="s">
        <v>194</v>
      </c>
      <c r="M13" s="172" t="s">
        <v>231</v>
      </c>
      <c r="W13" s="7">
        <v>125</v>
      </c>
      <c r="AO13" s="2">
        <f>SUM(N13:AN13)</f>
        <v>125</v>
      </c>
      <c r="BA13" s="53">
        <f t="shared" si="0"/>
        <v>0</v>
      </c>
    </row>
    <row r="14" spans="1:53" ht="15" customHeight="1" x14ac:dyDescent="0.25">
      <c r="A14" s="338" t="s">
        <v>90</v>
      </c>
      <c r="B14" s="13" t="s">
        <v>199</v>
      </c>
      <c r="C14" s="15">
        <v>13354264</v>
      </c>
      <c r="D14" s="1" t="s">
        <v>206</v>
      </c>
      <c r="E14" s="1" t="s">
        <v>207</v>
      </c>
      <c r="F14" s="56"/>
      <c r="G14" s="373">
        <v>832.24</v>
      </c>
      <c r="H14" s="56">
        <f t="shared" si="1"/>
        <v>108.73999999999978</v>
      </c>
      <c r="I14" s="7">
        <v>0</v>
      </c>
      <c r="J14" s="2">
        <f>G14-I14</f>
        <v>832.24</v>
      </c>
      <c r="L14" s="2" t="s">
        <v>194</v>
      </c>
      <c r="M14" s="172" t="s">
        <v>231</v>
      </c>
      <c r="AN14" s="7">
        <v>832.24</v>
      </c>
      <c r="AO14" s="2">
        <f>SUM(N14:AN14)</f>
        <v>832.24</v>
      </c>
      <c r="BA14" s="53">
        <f t="shared" si="0"/>
        <v>0</v>
      </c>
    </row>
    <row r="15" spans="1:53" s="2" customFormat="1" ht="15" customHeight="1" x14ac:dyDescent="0.25">
      <c r="A15" s="406" t="s">
        <v>96</v>
      </c>
      <c r="B15" s="2" t="s">
        <v>211</v>
      </c>
      <c r="C15" s="48"/>
      <c r="D15" s="2" t="s">
        <v>212</v>
      </c>
      <c r="E15" s="2" t="s">
        <v>213</v>
      </c>
      <c r="F15" s="2">
        <v>6250</v>
      </c>
      <c r="H15" s="2">
        <f t="shared" si="1"/>
        <v>6358.74</v>
      </c>
      <c r="K15" s="393"/>
      <c r="L15" s="2" t="s">
        <v>194</v>
      </c>
      <c r="M15" s="2" t="s">
        <v>231</v>
      </c>
      <c r="AQ15" s="2">
        <v>6250</v>
      </c>
      <c r="BA15" s="2">
        <f t="shared" si="0"/>
        <v>6250</v>
      </c>
    </row>
    <row r="16" spans="1:53" ht="15" customHeight="1" x14ac:dyDescent="0.25">
      <c r="A16" s="338" t="s">
        <v>102</v>
      </c>
      <c r="B16" s="13" t="s">
        <v>214</v>
      </c>
      <c r="C16" s="392"/>
      <c r="D16" s="1" t="s">
        <v>218</v>
      </c>
      <c r="E16" s="1" t="s">
        <v>219</v>
      </c>
      <c r="G16" s="373">
        <v>15</v>
      </c>
      <c r="H16" s="56">
        <f t="shared" si="1"/>
        <v>6343.74</v>
      </c>
      <c r="I16" s="7">
        <v>0</v>
      </c>
      <c r="J16" s="2">
        <f>G16-I16</f>
        <v>15</v>
      </c>
      <c r="L16" s="2" t="s">
        <v>220</v>
      </c>
      <c r="M16" s="172" t="s">
        <v>231</v>
      </c>
      <c r="AC16" s="7">
        <v>15</v>
      </c>
      <c r="AO16" s="2">
        <f>SUM(N16:AN16)</f>
        <v>15</v>
      </c>
      <c r="BA16" s="53">
        <f t="shared" si="0"/>
        <v>0</v>
      </c>
    </row>
    <row r="17" spans="1:53" ht="15" customHeight="1" x14ac:dyDescent="0.25">
      <c r="A17" s="338" t="s">
        <v>101</v>
      </c>
      <c r="B17" s="13" t="s">
        <v>214</v>
      </c>
      <c r="C17" s="392"/>
      <c r="D17" s="1" t="s">
        <v>202</v>
      </c>
      <c r="E17" s="1" t="s">
        <v>217</v>
      </c>
      <c r="G17" s="373">
        <v>480.72</v>
      </c>
      <c r="H17" s="56">
        <f t="shared" si="1"/>
        <v>5863.0199999999995</v>
      </c>
      <c r="I17" s="7">
        <v>0</v>
      </c>
      <c r="J17" s="2">
        <f>G17-I17</f>
        <v>480.72</v>
      </c>
      <c r="L17" s="2" t="s">
        <v>194</v>
      </c>
      <c r="M17" s="172" t="s">
        <v>231</v>
      </c>
      <c r="N17" s="53">
        <v>454.72</v>
      </c>
      <c r="P17" s="53">
        <v>26</v>
      </c>
      <c r="AO17" s="2">
        <f>SUM(N17:AN17)</f>
        <v>480.72</v>
      </c>
      <c r="BA17" s="53">
        <f t="shared" si="0"/>
        <v>0</v>
      </c>
    </row>
    <row r="18" spans="1:53" ht="15" customHeight="1" x14ac:dyDescent="0.25">
      <c r="A18" s="338" t="s">
        <v>100</v>
      </c>
      <c r="B18" s="13" t="s">
        <v>214</v>
      </c>
      <c r="C18" s="392" t="s">
        <v>223</v>
      </c>
      <c r="D18" s="1" t="s">
        <v>215</v>
      </c>
      <c r="E18" s="1" t="s">
        <v>216</v>
      </c>
      <c r="G18" s="373">
        <v>195</v>
      </c>
      <c r="H18" s="56">
        <f t="shared" si="1"/>
        <v>5668.0199999999995</v>
      </c>
      <c r="I18" s="7">
        <v>0</v>
      </c>
      <c r="J18" s="2">
        <f>G18-I18</f>
        <v>195</v>
      </c>
      <c r="L18" s="2" t="s">
        <v>194</v>
      </c>
      <c r="M18" s="172" t="s">
        <v>231</v>
      </c>
      <c r="W18" s="7">
        <v>195</v>
      </c>
      <c r="AO18" s="2">
        <f>SUM(N18:AN18)</f>
        <v>195</v>
      </c>
      <c r="BA18" s="53">
        <f t="shared" si="0"/>
        <v>0</v>
      </c>
    </row>
    <row r="19" spans="1:53" ht="15" customHeight="1" x14ac:dyDescent="0.25">
      <c r="A19" s="338" t="s">
        <v>103</v>
      </c>
      <c r="B19" s="13" t="s">
        <v>221</v>
      </c>
      <c r="C19" s="15" t="s">
        <v>224</v>
      </c>
      <c r="D19" s="1" t="s">
        <v>222</v>
      </c>
      <c r="E19" s="1" t="s">
        <v>225</v>
      </c>
      <c r="G19" s="373">
        <v>746</v>
      </c>
      <c r="H19" s="56">
        <f t="shared" si="1"/>
        <v>4922.0199999999995</v>
      </c>
      <c r="I19" s="7">
        <v>0</v>
      </c>
      <c r="J19" s="2">
        <f>G19-I19</f>
        <v>746</v>
      </c>
      <c r="L19" s="2" t="s">
        <v>194</v>
      </c>
      <c r="M19" s="172" t="s">
        <v>231</v>
      </c>
      <c r="AK19" s="7">
        <v>746</v>
      </c>
      <c r="AO19" s="2">
        <f>SUM(N19:AN19)</f>
        <v>746</v>
      </c>
      <c r="BA19" s="53">
        <f t="shared" si="0"/>
        <v>0</v>
      </c>
    </row>
    <row r="20" spans="1:53" s="2" customFormat="1" ht="15" customHeight="1" x14ac:dyDescent="0.25">
      <c r="A20" s="406" t="s">
        <v>97</v>
      </c>
      <c r="B20" s="2" t="s">
        <v>229</v>
      </c>
      <c r="C20" s="48" t="s">
        <v>230</v>
      </c>
      <c r="D20" s="2" t="s">
        <v>227</v>
      </c>
      <c r="E20" s="2" t="s">
        <v>228</v>
      </c>
      <c r="F20" s="2">
        <v>224</v>
      </c>
      <c r="H20" s="2">
        <f>IF($F20&gt;0,$H19+$F20,IF($G20&gt;0,$H19-$G20,$H19))</f>
        <v>5146.0199999999995</v>
      </c>
      <c r="K20" s="393"/>
      <c r="L20" s="2" t="s">
        <v>194</v>
      </c>
      <c r="M20" s="2" t="s">
        <v>231</v>
      </c>
      <c r="AT20" s="2">
        <v>224</v>
      </c>
      <c r="BA20" s="2">
        <f t="shared" si="0"/>
        <v>224</v>
      </c>
    </row>
    <row r="21" spans="1:53" s="2" customFormat="1" ht="15" customHeight="1" x14ac:dyDescent="0.25">
      <c r="A21" s="406" t="s">
        <v>98</v>
      </c>
      <c r="B21" s="2" t="s">
        <v>231</v>
      </c>
      <c r="C21" s="48" t="s">
        <v>235</v>
      </c>
      <c r="D21" s="2" t="s">
        <v>232</v>
      </c>
      <c r="E21" s="2" t="s">
        <v>228</v>
      </c>
      <c r="F21" s="2">
        <v>30</v>
      </c>
      <c r="H21" s="2">
        <f t="shared" ref="H21:H40" si="2">IF($F21&gt;0,$H20+$F21,IF($G21&gt;0,$H20-$G21,$H20))</f>
        <v>5176.0199999999995</v>
      </c>
      <c r="K21" s="393"/>
      <c r="L21" s="2" t="s">
        <v>194</v>
      </c>
      <c r="M21" s="2" t="s">
        <v>400</v>
      </c>
      <c r="AV21" s="2">
        <v>30</v>
      </c>
      <c r="BA21" s="2">
        <f t="shared" si="0"/>
        <v>30</v>
      </c>
    </row>
    <row r="22" spans="1:53" s="2" customFormat="1" ht="15" customHeight="1" x14ac:dyDescent="0.25">
      <c r="A22" s="406" t="s">
        <v>99</v>
      </c>
      <c r="B22" s="2" t="s">
        <v>231</v>
      </c>
      <c r="C22" s="48" t="s">
        <v>236</v>
      </c>
      <c r="D22" s="2" t="s">
        <v>233</v>
      </c>
      <c r="E22" s="2" t="s">
        <v>234</v>
      </c>
      <c r="F22" s="2">
        <v>65</v>
      </c>
      <c r="H22" s="2">
        <f t="shared" si="2"/>
        <v>5241.0199999999995</v>
      </c>
      <c r="K22" s="393"/>
      <c r="L22" s="2" t="s">
        <v>194</v>
      </c>
      <c r="M22" s="2" t="s">
        <v>400</v>
      </c>
      <c r="AX22" s="2">
        <v>65</v>
      </c>
      <c r="BA22" s="2">
        <f t="shared" si="0"/>
        <v>65</v>
      </c>
    </row>
    <row r="23" spans="1:53" s="2" customFormat="1" ht="15" customHeight="1" x14ac:dyDescent="0.25">
      <c r="A23" s="406" t="s">
        <v>104</v>
      </c>
      <c r="B23" s="2" t="s">
        <v>263</v>
      </c>
      <c r="C23" s="48" t="s">
        <v>266</v>
      </c>
      <c r="D23" s="2" t="s">
        <v>264</v>
      </c>
      <c r="E23" s="2" t="s">
        <v>265</v>
      </c>
      <c r="G23" s="356">
        <v>27.99</v>
      </c>
      <c r="H23" s="2">
        <f t="shared" si="2"/>
        <v>5213.03</v>
      </c>
      <c r="I23" s="2">
        <v>4.67</v>
      </c>
      <c r="J23" s="2">
        <f>G23-I23</f>
        <v>23.32</v>
      </c>
      <c r="K23" s="393">
        <v>276153689</v>
      </c>
      <c r="L23" s="2" t="s">
        <v>209</v>
      </c>
      <c r="M23" s="2" t="s">
        <v>400</v>
      </c>
      <c r="AL23" s="2">
        <v>23.32</v>
      </c>
      <c r="AO23" s="2">
        <f>SUM(N23:AN23)</f>
        <v>23.32</v>
      </c>
      <c r="BA23" s="2">
        <f t="shared" si="0"/>
        <v>0</v>
      </c>
    </row>
    <row r="24" spans="1:53" s="2" customFormat="1" ht="15" customHeight="1" x14ac:dyDescent="0.25">
      <c r="A24" s="406" t="s">
        <v>289</v>
      </c>
      <c r="B24" s="2" t="s">
        <v>290</v>
      </c>
      <c r="C24" s="48" t="s">
        <v>268</v>
      </c>
      <c r="D24" s="2" t="s">
        <v>197</v>
      </c>
      <c r="E24" s="2" t="s">
        <v>292</v>
      </c>
      <c r="G24" s="356">
        <v>126.67</v>
      </c>
      <c r="H24" s="2">
        <f t="shared" si="2"/>
        <v>5086.3599999999997</v>
      </c>
      <c r="I24" s="2">
        <v>0</v>
      </c>
      <c r="J24" s="2">
        <f>G24-I24</f>
        <v>126.67</v>
      </c>
      <c r="K24" s="393"/>
      <c r="L24" s="2" t="s">
        <v>220</v>
      </c>
      <c r="M24" s="2" t="s">
        <v>400</v>
      </c>
      <c r="O24" s="2">
        <v>126.67</v>
      </c>
      <c r="AO24" s="2">
        <f>SUM(N24:AN24)</f>
        <v>126.67</v>
      </c>
      <c r="BA24" s="2">
        <f t="shared" si="0"/>
        <v>0</v>
      </c>
    </row>
    <row r="25" spans="1:53" s="2" customFormat="1" ht="15" customHeight="1" x14ac:dyDescent="0.25">
      <c r="A25" s="406" t="s">
        <v>341</v>
      </c>
      <c r="B25" s="2" t="s">
        <v>290</v>
      </c>
      <c r="C25" s="48"/>
      <c r="D25" s="2" t="s">
        <v>338</v>
      </c>
      <c r="E25" s="2" t="s">
        <v>337</v>
      </c>
      <c r="F25" s="2">
        <v>206.45</v>
      </c>
      <c r="H25" s="2">
        <f t="shared" si="2"/>
        <v>5292.8099999999995</v>
      </c>
      <c r="K25" s="393"/>
      <c r="L25" s="2" t="s">
        <v>340</v>
      </c>
      <c r="M25" s="2" t="s">
        <v>400</v>
      </c>
      <c r="AY25" s="2">
        <v>206.45</v>
      </c>
      <c r="BA25" s="2">
        <f t="shared" si="0"/>
        <v>206.45</v>
      </c>
    </row>
    <row r="26" spans="1:53" s="2" customFormat="1" ht="15" customHeight="1" x14ac:dyDescent="0.25">
      <c r="A26" s="406" t="s">
        <v>294</v>
      </c>
      <c r="B26" s="2" t="s">
        <v>293</v>
      </c>
      <c r="C26" s="48"/>
      <c r="D26" s="2" t="s">
        <v>295</v>
      </c>
      <c r="E26" s="2" t="s">
        <v>296</v>
      </c>
      <c r="G26" s="356">
        <v>10.8</v>
      </c>
      <c r="H26" s="2">
        <f t="shared" si="2"/>
        <v>5282.0099999999993</v>
      </c>
      <c r="I26" s="2">
        <v>0</v>
      </c>
      <c r="J26" s="2">
        <f t="shared" ref="J26:J33" si="3">G26-I26</f>
        <v>10.8</v>
      </c>
      <c r="K26" s="393"/>
      <c r="L26" s="2" t="s">
        <v>209</v>
      </c>
      <c r="M26" s="2" t="s">
        <v>400</v>
      </c>
      <c r="X26" s="2">
        <v>10.8</v>
      </c>
      <c r="AO26" s="2">
        <f t="shared" ref="AO26:AO33" si="4">SUM(N26:AN26)</f>
        <v>10.8</v>
      </c>
      <c r="BA26" s="2">
        <f t="shared" si="0"/>
        <v>0</v>
      </c>
    </row>
    <row r="27" spans="1:53" s="2" customFormat="1" ht="15" customHeight="1" x14ac:dyDescent="0.25">
      <c r="A27" s="406" t="s">
        <v>277</v>
      </c>
      <c r="B27" s="2" t="s">
        <v>293</v>
      </c>
      <c r="C27" s="48" t="s">
        <v>268</v>
      </c>
      <c r="D27" s="2" t="s">
        <v>197</v>
      </c>
      <c r="E27" s="2" t="s">
        <v>278</v>
      </c>
      <c r="G27" s="356">
        <v>23.25</v>
      </c>
      <c r="H27" s="2">
        <f t="shared" si="2"/>
        <v>5258.7599999999993</v>
      </c>
      <c r="I27" s="2">
        <v>3.88</v>
      </c>
      <c r="J27" s="2">
        <f t="shared" si="3"/>
        <v>19.37</v>
      </c>
      <c r="K27" s="393">
        <v>970241240</v>
      </c>
      <c r="L27" s="2" t="s">
        <v>194</v>
      </c>
      <c r="M27" s="2" t="s">
        <v>400</v>
      </c>
      <c r="AL27" s="2">
        <v>19.37</v>
      </c>
      <c r="AO27" s="2">
        <f t="shared" si="4"/>
        <v>19.37</v>
      </c>
      <c r="BA27" s="2">
        <f t="shared" si="0"/>
        <v>0</v>
      </c>
    </row>
    <row r="28" spans="1:53" s="2" customFormat="1" ht="15" customHeight="1" x14ac:dyDescent="0.25">
      <c r="A28" s="406" t="s">
        <v>267</v>
      </c>
      <c r="B28" s="2" t="s">
        <v>293</v>
      </c>
      <c r="C28" s="48" t="s">
        <v>268</v>
      </c>
      <c r="D28" s="2" t="s">
        <v>202</v>
      </c>
      <c r="E28" s="2" t="s">
        <v>269</v>
      </c>
      <c r="G28" s="356">
        <v>24.48</v>
      </c>
      <c r="H28" s="2">
        <f t="shared" si="2"/>
        <v>5234.28</v>
      </c>
      <c r="I28" s="2">
        <v>0</v>
      </c>
      <c r="J28" s="2">
        <f t="shared" si="3"/>
        <v>24.48</v>
      </c>
      <c r="K28" s="393"/>
      <c r="L28" s="2" t="s">
        <v>194</v>
      </c>
      <c r="M28" s="2" t="s">
        <v>400</v>
      </c>
      <c r="Q28" s="2">
        <v>24.48</v>
      </c>
      <c r="AO28" s="2">
        <f t="shared" si="4"/>
        <v>24.48</v>
      </c>
      <c r="BA28" s="2">
        <f t="shared" si="0"/>
        <v>0</v>
      </c>
    </row>
    <row r="29" spans="1:53" s="2" customFormat="1" ht="15" customHeight="1" x14ac:dyDescent="0.25">
      <c r="A29" s="406" t="s">
        <v>270</v>
      </c>
      <c r="B29" s="2" t="s">
        <v>293</v>
      </c>
      <c r="C29" s="48">
        <v>701085500</v>
      </c>
      <c r="D29" s="2" t="s">
        <v>212</v>
      </c>
      <c r="E29" s="2" t="s">
        <v>161</v>
      </c>
      <c r="G29" s="356">
        <v>61.94</v>
      </c>
      <c r="H29" s="2">
        <f t="shared" si="2"/>
        <v>5172.34</v>
      </c>
      <c r="I29" s="2">
        <v>0</v>
      </c>
      <c r="J29" s="2">
        <f t="shared" si="3"/>
        <v>61.94</v>
      </c>
      <c r="K29" s="393"/>
      <c r="L29" s="2" t="s">
        <v>194</v>
      </c>
      <c r="M29" s="2" t="s">
        <v>400</v>
      </c>
      <c r="Y29" s="2">
        <v>61.94</v>
      </c>
      <c r="AO29" s="2">
        <f t="shared" si="4"/>
        <v>61.94</v>
      </c>
      <c r="BA29" s="2">
        <f t="shared" si="0"/>
        <v>0</v>
      </c>
    </row>
    <row r="30" spans="1:53" s="2" customFormat="1" ht="15" customHeight="1" x14ac:dyDescent="0.25">
      <c r="A30" s="406" t="s">
        <v>275</v>
      </c>
      <c r="B30" s="2" t="s">
        <v>293</v>
      </c>
      <c r="C30" s="48" t="s">
        <v>274</v>
      </c>
      <c r="D30" s="2" t="s">
        <v>218</v>
      </c>
      <c r="E30" s="2" t="s">
        <v>276</v>
      </c>
      <c r="G30" s="356">
        <v>100.01</v>
      </c>
      <c r="H30" s="2">
        <f t="shared" si="2"/>
        <v>5072.33</v>
      </c>
      <c r="I30" s="2">
        <v>4.18</v>
      </c>
      <c r="J30" s="2">
        <f t="shared" si="3"/>
        <v>95.830000000000013</v>
      </c>
      <c r="K30" s="393">
        <v>651141081</v>
      </c>
      <c r="L30" s="2" t="s">
        <v>194</v>
      </c>
      <c r="M30" s="2" t="s">
        <v>400</v>
      </c>
      <c r="AC30" s="2">
        <v>47.83</v>
      </c>
      <c r="AM30" s="2">
        <v>48</v>
      </c>
      <c r="AO30" s="2">
        <f t="shared" si="4"/>
        <v>95.83</v>
      </c>
      <c r="BA30" s="2">
        <f t="shared" si="0"/>
        <v>0</v>
      </c>
    </row>
    <row r="31" spans="1:53" s="2" customFormat="1" ht="15" customHeight="1" x14ac:dyDescent="0.25">
      <c r="A31" s="406" t="s">
        <v>279</v>
      </c>
      <c r="B31" s="2" t="s">
        <v>293</v>
      </c>
      <c r="C31" s="48">
        <v>8867</v>
      </c>
      <c r="D31" s="2" t="s">
        <v>280</v>
      </c>
      <c r="E31" s="2" t="s">
        <v>281</v>
      </c>
      <c r="G31" s="356">
        <v>190.24</v>
      </c>
      <c r="H31" s="2">
        <f t="shared" si="2"/>
        <v>4882.09</v>
      </c>
      <c r="I31" s="2">
        <v>31.71</v>
      </c>
      <c r="J31" s="2">
        <f t="shared" si="3"/>
        <v>158.53</v>
      </c>
      <c r="K31" s="393">
        <v>144660907</v>
      </c>
      <c r="L31" s="2" t="s">
        <v>194</v>
      </c>
      <c r="M31" s="2" t="s">
        <v>400</v>
      </c>
      <c r="AC31" s="2">
        <v>158.53</v>
      </c>
      <c r="AO31" s="2">
        <f t="shared" si="4"/>
        <v>158.53</v>
      </c>
      <c r="BA31" s="2">
        <f t="shared" si="0"/>
        <v>0</v>
      </c>
    </row>
    <row r="32" spans="1:53" s="2" customFormat="1" ht="15" customHeight="1" x14ac:dyDescent="0.25">
      <c r="A32" s="406" t="s">
        <v>271</v>
      </c>
      <c r="B32" s="2" t="s">
        <v>293</v>
      </c>
      <c r="C32" s="48" t="s">
        <v>272</v>
      </c>
      <c r="D32" s="2" t="s">
        <v>215</v>
      </c>
      <c r="E32" s="2" t="s">
        <v>273</v>
      </c>
      <c r="G32" s="356">
        <v>450</v>
      </c>
      <c r="H32" s="2">
        <f t="shared" si="2"/>
        <v>4432.09</v>
      </c>
      <c r="I32" s="2">
        <v>0</v>
      </c>
      <c r="J32" s="2">
        <f t="shared" si="3"/>
        <v>450</v>
      </c>
      <c r="K32" s="393"/>
      <c r="L32" s="2" t="s">
        <v>194</v>
      </c>
      <c r="M32" s="2" t="s">
        <v>400</v>
      </c>
      <c r="AF32" s="2">
        <v>450</v>
      </c>
      <c r="AO32" s="2">
        <f t="shared" si="4"/>
        <v>450</v>
      </c>
      <c r="BA32" s="2">
        <f t="shared" si="0"/>
        <v>0</v>
      </c>
    </row>
    <row r="33" spans="1:53" s="2" customFormat="1" ht="15" customHeight="1" x14ac:dyDescent="0.25">
      <c r="A33" s="406" t="s">
        <v>284</v>
      </c>
      <c r="B33" s="2" t="s">
        <v>293</v>
      </c>
      <c r="C33" s="48" t="s">
        <v>285</v>
      </c>
      <c r="D33" s="2" t="s">
        <v>286</v>
      </c>
      <c r="E33" s="2" t="s">
        <v>287</v>
      </c>
      <c r="G33" s="356">
        <v>783.26</v>
      </c>
      <c r="H33" s="2">
        <f t="shared" si="2"/>
        <v>3648.83</v>
      </c>
      <c r="I33" s="2">
        <v>0</v>
      </c>
      <c r="J33" s="2">
        <f t="shared" si="3"/>
        <v>783.26</v>
      </c>
      <c r="K33" s="393"/>
      <c r="L33" s="2" t="s">
        <v>194</v>
      </c>
      <c r="M33" s="2" t="s">
        <v>400</v>
      </c>
      <c r="AG33" s="2">
        <v>783.26</v>
      </c>
      <c r="AO33" s="2">
        <f t="shared" si="4"/>
        <v>783.26</v>
      </c>
      <c r="BA33" s="2">
        <f t="shared" si="0"/>
        <v>0</v>
      </c>
    </row>
    <row r="34" spans="1:53" s="2" customFormat="1" ht="15" customHeight="1" x14ac:dyDescent="0.25">
      <c r="A34" s="406" t="s">
        <v>298</v>
      </c>
      <c r="B34" s="2" t="s">
        <v>293</v>
      </c>
      <c r="C34" s="48" t="s">
        <v>302</v>
      </c>
      <c r="D34" s="2" t="s">
        <v>303</v>
      </c>
      <c r="E34" s="2" t="s">
        <v>228</v>
      </c>
      <c r="F34" s="2">
        <v>24</v>
      </c>
      <c r="H34" s="2">
        <f t="shared" si="2"/>
        <v>3672.83</v>
      </c>
      <c r="K34" s="393"/>
      <c r="L34" s="2" t="s">
        <v>304</v>
      </c>
      <c r="M34" s="2" t="s">
        <v>400</v>
      </c>
      <c r="AT34" s="2">
        <v>24</v>
      </c>
      <c r="BA34" s="2">
        <f t="shared" si="0"/>
        <v>24</v>
      </c>
    </row>
    <row r="35" spans="1:53" s="2" customFormat="1" ht="15" customHeight="1" x14ac:dyDescent="0.25">
      <c r="A35" s="406" t="s">
        <v>297</v>
      </c>
      <c r="B35" s="2" t="s">
        <v>293</v>
      </c>
      <c r="C35" s="48" t="s">
        <v>305</v>
      </c>
      <c r="D35" s="2" t="s">
        <v>306</v>
      </c>
      <c r="E35" s="2" t="s">
        <v>228</v>
      </c>
      <c r="F35" s="2">
        <v>64</v>
      </c>
      <c r="H35" s="2">
        <f t="shared" si="2"/>
        <v>3736.83</v>
      </c>
      <c r="K35" s="393"/>
      <c r="L35" s="2" t="s">
        <v>304</v>
      </c>
      <c r="M35" s="2" t="s">
        <v>400</v>
      </c>
      <c r="AT35" s="2">
        <v>64</v>
      </c>
      <c r="BA35" s="2">
        <f t="shared" si="0"/>
        <v>64</v>
      </c>
    </row>
    <row r="36" spans="1:53" s="2" customFormat="1" ht="15" customHeight="1" x14ac:dyDescent="0.25">
      <c r="A36" s="406" t="s">
        <v>299</v>
      </c>
      <c r="B36" s="2" t="s">
        <v>308</v>
      </c>
      <c r="C36" s="48" t="s">
        <v>307</v>
      </c>
      <c r="D36" s="2" t="s">
        <v>300</v>
      </c>
      <c r="E36" s="2" t="s">
        <v>234</v>
      </c>
      <c r="F36" s="2">
        <v>65</v>
      </c>
      <c r="H36" s="2">
        <f t="shared" si="2"/>
        <v>3801.83</v>
      </c>
      <c r="K36" s="393"/>
      <c r="L36" s="2" t="s">
        <v>194</v>
      </c>
      <c r="M36" s="2" t="s">
        <v>400</v>
      </c>
      <c r="AX36" s="2">
        <v>65</v>
      </c>
      <c r="BA36" s="2">
        <f t="shared" si="0"/>
        <v>65</v>
      </c>
    </row>
    <row r="37" spans="1:53" s="2" customFormat="1" ht="15" customHeight="1" x14ac:dyDescent="0.25">
      <c r="A37" s="406" t="s">
        <v>282</v>
      </c>
      <c r="B37" s="2" t="s">
        <v>301</v>
      </c>
      <c r="C37" s="48" t="s">
        <v>283</v>
      </c>
      <c r="D37" s="2" t="s">
        <v>222</v>
      </c>
      <c r="E37" s="2" t="s">
        <v>185</v>
      </c>
      <c r="G37" s="356">
        <v>1142.99</v>
      </c>
      <c r="H37" s="2">
        <f t="shared" si="2"/>
        <v>2658.84</v>
      </c>
      <c r="I37" s="2">
        <v>314.83</v>
      </c>
      <c r="J37" s="2">
        <f>G37-I37</f>
        <v>828.16000000000008</v>
      </c>
      <c r="K37" s="393">
        <v>523041202</v>
      </c>
      <c r="L37" s="2" t="s">
        <v>226</v>
      </c>
      <c r="M37" s="2" t="s">
        <v>400</v>
      </c>
      <c r="AK37" s="2">
        <v>828.16</v>
      </c>
      <c r="AO37" s="2">
        <f>SUM(N37:AN37)</f>
        <v>828.16</v>
      </c>
      <c r="BA37" s="2">
        <f t="shared" si="0"/>
        <v>0</v>
      </c>
    </row>
    <row r="38" spans="1:53" s="2" customFormat="1" ht="15" customHeight="1" x14ac:dyDescent="0.25">
      <c r="A38" s="406" t="s">
        <v>312</v>
      </c>
      <c r="B38" s="2" t="s">
        <v>310</v>
      </c>
      <c r="C38" s="48" t="s">
        <v>268</v>
      </c>
      <c r="D38" s="2" t="s">
        <v>218</v>
      </c>
      <c r="E38" s="2" t="s">
        <v>313</v>
      </c>
      <c r="G38" s="356">
        <v>15</v>
      </c>
      <c r="H38" s="2">
        <f t="shared" si="2"/>
        <v>2643.84</v>
      </c>
      <c r="I38" s="2">
        <v>0</v>
      </c>
      <c r="J38" s="2">
        <f>G38-I38</f>
        <v>15</v>
      </c>
      <c r="K38" s="393"/>
      <c r="L38" s="2" t="s">
        <v>220</v>
      </c>
      <c r="M38" s="2" t="s">
        <v>400</v>
      </c>
      <c r="AC38" s="2">
        <v>15</v>
      </c>
      <c r="AO38" s="2">
        <f>SUM(N38:AN38)</f>
        <v>15</v>
      </c>
      <c r="BA38" s="2">
        <f t="shared" ref="BA38:BA69" si="5">SUM(AQ38:AZ38)</f>
        <v>0</v>
      </c>
    </row>
    <row r="39" spans="1:53" s="2" customFormat="1" ht="15" customHeight="1" x14ac:dyDescent="0.25">
      <c r="A39" s="406" t="s">
        <v>309</v>
      </c>
      <c r="B39" s="2" t="s">
        <v>310</v>
      </c>
      <c r="C39" s="48" t="s">
        <v>268</v>
      </c>
      <c r="D39" s="2" t="s">
        <v>202</v>
      </c>
      <c r="E39" s="2" t="s">
        <v>311</v>
      </c>
      <c r="G39" s="356">
        <v>480.72</v>
      </c>
      <c r="H39" s="2">
        <f t="shared" si="2"/>
        <v>2163.12</v>
      </c>
      <c r="I39" s="2">
        <v>0</v>
      </c>
      <c r="J39" s="2">
        <f>G39-I39</f>
        <v>480.72</v>
      </c>
      <c r="K39" s="393"/>
      <c r="L39" s="2" t="s">
        <v>220</v>
      </c>
      <c r="M39" s="2" t="s">
        <v>400</v>
      </c>
      <c r="N39" s="2">
        <v>454.72</v>
      </c>
      <c r="P39" s="2">
        <v>26</v>
      </c>
      <c r="AO39" s="2">
        <f>SUM(N39:AN39)</f>
        <v>480.72</v>
      </c>
      <c r="BA39" s="2">
        <f t="shared" si="5"/>
        <v>0</v>
      </c>
    </row>
    <row r="40" spans="1:53" s="2" customFormat="1" ht="15" customHeight="1" x14ac:dyDescent="0.25">
      <c r="A40" s="406" t="s">
        <v>318</v>
      </c>
      <c r="B40" s="2" t="s">
        <v>319</v>
      </c>
      <c r="C40" s="48" t="s">
        <v>398</v>
      </c>
      <c r="D40" s="2" t="s">
        <v>227</v>
      </c>
      <c r="E40" s="2" t="s">
        <v>228</v>
      </c>
      <c r="F40" s="2">
        <v>112</v>
      </c>
      <c r="H40" s="2">
        <f t="shared" si="2"/>
        <v>2275.12</v>
      </c>
      <c r="K40" s="393"/>
      <c r="L40" s="2" t="s">
        <v>194</v>
      </c>
      <c r="M40" s="2" t="s">
        <v>400</v>
      </c>
      <c r="AT40" s="2">
        <v>112</v>
      </c>
      <c r="BA40" s="2">
        <f t="shared" si="5"/>
        <v>112</v>
      </c>
    </row>
    <row r="41" spans="1:53" s="2" customFormat="1" ht="15" customHeight="1" x14ac:dyDescent="0.25">
      <c r="A41" s="406" t="s">
        <v>320</v>
      </c>
      <c r="B41" s="2" t="s">
        <v>321</v>
      </c>
      <c r="C41" s="48" t="s">
        <v>399</v>
      </c>
      <c r="D41" s="2" t="s">
        <v>233</v>
      </c>
      <c r="E41" s="2" t="s">
        <v>322</v>
      </c>
      <c r="F41" s="2">
        <v>150</v>
      </c>
      <c r="H41" s="2">
        <f>IF($F41&gt;0,$H40+$F41,IF($G41&gt;0,$H40-$G41,$H40))</f>
        <v>2425.12</v>
      </c>
      <c r="K41" s="393"/>
      <c r="L41" s="2" t="s">
        <v>194</v>
      </c>
      <c r="M41" s="2" t="s">
        <v>469</v>
      </c>
      <c r="AX41" s="2">
        <v>150</v>
      </c>
      <c r="BA41" s="2">
        <f t="shared" si="5"/>
        <v>150</v>
      </c>
    </row>
    <row r="42" spans="1:53" s="2" customFormat="1" ht="15" customHeight="1" x14ac:dyDescent="0.25">
      <c r="A42" s="406" t="s">
        <v>323</v>
      </c>
      <c r="B42" s="2" t="s">
        <v>324</v>
      </c>
      <c r="C42" s="48" t="s">
        <v>342</v>
      </c>
      <c r="D42" s="2" t="s">
        <v>343</v>
      </c>
      <c r="E42" s="2" t="s">
        <v>228</v>
      </c>
      <c r="F42" s="2">
        <v>48</v>
      </c>
      <c r="H42" s="2">
        <f>IF($F42&gt;0,$H41+$F42,IF($G42&gt;0,$H41-$G42,$H41))</f>
        <v>2473.12</v>
      </c>
      <c r="K42" s="393"/>
      <c r="L42" s="2" t="s">
        <v>304</v>
      </c>
      <c r="M42" s="2" t="s">
        <v>469</v>
      </c>
      <c r="AT42" s="2">
        <v>48</v>
      </c>
      <c r="BA42" s="2">
        <f t="shared" si="5"/>
        <v>48</v>
      </c>
    </row>
    <row r="43" spans="1:53" s="2" customFormat="1" ht="15" customHeight="1" x14ac:dyDescent="0.25">
      <c r="A43" s="406" t="s">
        <v>325</v>
      </c>
      <c r="B43" s="2" t="s">
        <v>324</v>
      </c>
      <c r="C43" s="48" t="s">
        <v>344</v>
      </c>
      <c r="D43" s="2" t="s">
        <v>306</v>
      </c>
      <c r="E43" s="2" t="s">
        <v>228</v>
      </c>
      <c r="F43" s="2">
        <v>64</v>
      </c>
      <c r="H43" s="2">
        <f>IF($F43&gt;0,$H42+$F43,IF($G43&gt;0,$H42-$G43,$H42))</f>
        <v>2537.12</v>
      </c>
      <c r="K43" s="393"/>
      <c r="L43" s="2" t="s">
        <v>304</v>
      </c>
      <c r="M43" s="2" t="s">
        <v>469</v>
      </c>
      <c r="AT43" s="2">
        <v>64</v>
      </c>
      <c r="BA43" s="2">
        <f t="shared" si="5"/>
        <v>64</v>
      </c>
    </row>
    <row r="44" spans="1:53" s="2" customFormat="1" ht="15" customHeight="1" x14ac:dyDescent="0.25">
      <c r="A44" s="406" t="s">
        <v>335</v>
      </c>
      <c r="B44" s="2" t="s">
        <v>327</v>
      </c>
      <c r="C44" s="48"/>
      <c r="D44" s="2" t="s">
        <v>202</v>
      </c>
      <c r="E44" s="2" t="s">
        <v>336</v>
      </c>
      <c r="G44" s="356">
        <v>15.68</v>
      </c>
      <c r="H44" s="2">
        <f t="shared" ref="H44:H63" si="6">IF($F44&gt;0,$H43+$F44,IF($G44&gt;0,$H43-$G44,$H43))</f>
        <v>2521.44</v>
      </c>
      <c r="I44" s="2">
        <v>0</v>
      </c>
      <c r="J44" s="2">
        <f>G44-I44</f>
        <v>15.68</v>
      </c>
      <c r="K44" s="393"/>
      <c r="L44" s="2" t="s">
        <v>194</v>
      </c>
      <c r="M44" s="2" t="s">
        <v>469</v>
      </c>
      <c r="N44" s="2">
        <v>15.68</v>
      </c>
      <c r="AO44" s="2">
        <f>SUM(N44:AN44)</f>
        <v>15.68</v>
      </c>
      <c r="BA44" s="2">
        <f t="shared" si="5"/>
        <v>0</v>
      </c>
    </row>
    <row r="45" spans="1:53" s="2" customFormat="1" ht="15" customHeight="1" x14ac:dyDescent="0.25">
      <c r="A45" s="406" t="s">
        <v>332</v>
      </c>
      <c r="B45" s="2" t="s">
        <v>327</v>
      </c>
      <c r="C45" s="48" t="s">
        <v>333</v>
      </c>
      <c r="D45" s="2" t="s">
        <v>202</v>
      </c>
      <c r="E45" s="2" t="s">
        <v>334</v>
      </c>
      <c r="G45" s="356">
        <v>18.36</v>
      </c>
      <c r="H45" s="2">
        <f t="shared" si="6"/>
        <v>2503.08</v>
      </c>
      <c r="I45" s="2">
        <v>0</v>
      </c>
      <c r="J45" s="2">
        <f>G45-I45</f>
        <v>18.36</v>
      </c>
      <c r="K45" s="393"/>
      <c r="L45" s="2" t="s">
        <v>194</v>
      </c>
      <c r="M45" s="2" t="s">
        <v>469</v>
      </c>
      <c r="Q45" s="2">
        <v>18.36</v>
      </c>
      <c r="AO45" s="2">
        <f>SUM(N45:AN45)</f>
        <v>18.36</v>
      </c>
      <c r="BA45" s="2">
        <f t="shared" si="5"/>
        <v>0</v>
      </c>
    </row>
    <row r="46" spans="1:53" s="2" customFormat="1" ht="15" customHeight="1" x14ac:dyDescent="0.25">
      <c r="A46" s="406" t="s">
        <v>326</v>
      </c>
      <c r="B46" s="2" t="s">
        <v>327</v>
      </c>
      <c r="C46" s="48"/>
      <c r="D46" s="2" t="s">
        <v>215</v>
      </c>
      <c r="E46" s="2" t="s">
        <v>328</v>
      </c>
      <c r="G46" s="356">
        <v>29</v>
      </c>
      <c r="H46" s="2">
        <f t="shared" si="6"/>
        <v>2474.08</v>
      </c>
      <c r="I46" s="2">
        <v>0</v>
      </c>
      <c r="J46" s="2">
        <f>G46-I46</f>
        <v>29</v>
      </c>
      <c r="K46" s="393"/>
      <c r="L46" s="2" t="s">
        <v>194</v>
      </c>
      <c r="M46" s="2" t="s">
        <v>469</v>
      </c>
      <c r="AF46" s="2">
        <v>29</v>
      </c>
      <c r="AO46" s="2">
        <f>SUM(N46:AN46)</f>
        <v>29</v>
      </c>
      <c r="BA46" s="2">
        <f t="shared" si="5"/>
        <v>0</v>
      </c>
    </row>
    <row r="47" spans="1:53" s="2" customFormat="1" ht="15" customHeight="1" x14ac:dyDescent="0.25">
      <c r="A47" s="406" t="s">
        <v>329</v>
      </c>
      <c r="B47" s="2" t="s">
        <v>327</v>
      </c>
      <c r="C47" s="48">
        <v>54703</v>
      </c>
      <c r="D47" s="2" t="s">
        <v>330</v>
      </c>
      <c r="E47" s="2" t="s">
        <v>331</v>
      </c>
      <c r="G47" s="356">
        <v>46</v>
      </c>
      <c r="H47" s="2">
        <f t="shared" si="6"/>
        <v>2428.08</v>
      </c>
      <c r="I47" s="2">
        <v>0</v>
      </c>
      <c r="J47" s="2">
        <f>G47-I47</f>
        <v>46</v>
      </c>
      <c r="K47" s="393"/>
      <c r="L47" s="2" t="s">
        <v>194</v>
      </c>
      <c r="M47" s="2" t="s">
        <v>469</v>
      </c>
      <c r="Z47" s="2">
        <v>46</v>
      </c>
      <c r="AO47" s="2">
        <f>SUM(N47:AN47)</f>
        <v>46</v>
      </c>
      <c r="BA47" s="2">
        <f t="shared" si="5"/>
        <v>0</v>
      </c>
    </row>
    <row r="48" spans="1:53" s="2" customFormat="1" ht="15" customHeight="1" x14ac:dyDescent="0.25">
      <c r="A48" s="406" t="s">
        <v>347</v>
      </c>
      <c r="B48" s="2" t="s">
        <v>346</v>
      </c>
      <c r="C48" s="48" t="s">
        <v>354</v>
      </c>
      <c r="D48" s="2" t="s">
        <v>212</v>
      </c>
      <c r="E48" s="2" t="s">
        <v>355</v>
      </c>
      <c r="F48" s="2">
        <v>160</v>
      </c>
      <c r="H48" s="2">
        <f t="shared" si="6"/>
        <v>2588.08</v>
      </c>
      <c r="K48" s="393"/>
      <c r="L48" s="2" t="s">
        <v>194</v>
      </c>
      <c r="M48" s="2" t="s">
        <v>469</v>
      </c>
      <c r="AV48" s="2">
        <v>160</v>
      </c>
      <c r="BA48" s="2">
        <f t="shared" si="5"/>
        <v>160</v>
      </c>
    </row>
    <row r="49" spans="1:53" s="2" customFormat="1" ht="15" customHeight="1" x14ac:dyDescent="0.25">
      <c r="A49" s="406" t="s">
        <v>345</v>
      </c>
      <c r="B49" s="2" t="s">
        <v>346</v>
      </c>
      <c r="C49" s="48" t="s">
        <v>353</v>
      </c>
      <c r="D49" s="2" t="s">
        <v>192</v>
      </c>
      <c r="E49" s="2" t="s">
        <v>423</v>
      </c>
      <c r="F49" s="2">
        <v>1530.04</v>
      </c>
      <c r="H49" s="2">
        <f t="shared" si="6"/>
        <v>4118.12</v>
      </c>
      <c r="K49" s="393"/>
      <c r="L49" s="2" t="s">
        <v>194</v>
      </c>
      <c r="M49" s="2" t="s">
        <v>469</v>
      </c>
      <c r="AU49" s="2">
        <v>813.75</v>
      </c>
      <c r="AW49" s="2">
        <v>716.29</v>
      </c>
      <c r="BA49" s="2">
        <f t="shared" si="5"/>
        <v>1530.04</v>
      </c>
    </row>
    <row r="50" spans="1:53" s="2" customFormat="1" ht="15" customHeight="1" x14ac:dyDescent="0.25">
      <c r="A50" s="406" t="s">
        <v>348</v>
      </c>
      <c r="B50" s="2" t="s">
        <v>352</v>
      </c>
      <c r="C50" s="48" t="s">
        <v>333</v>
      </c>
      <c r="D50" s="2" t="s">
        <v>197</v>
      </c>
      <c r="E50" s="2" t="s">
        <v>349</v>
      </c>
      <c r="G50" s="356">
        <v>126.67</v>
      </c>
      <c r="H50" s="2">
        <f t="shared" si="6"/>
        <v>3991.45</v>
      </c>
      <c r="I50" s="2">
        <v>0</v>
      </c>
      <c r="J50" s="2">
        <f>G50-I50</f>
        <v>126.67</v>
      </c>
      <c r="K50" s="393"/>
      <c r="L50" s="2" t="s">
        <v>220</v>
      </c>
      <c r="M50" s="2" t="s">
        <v>469</v>
      </c>
      <c r="O50" s="2">
        <v>126.67</v>
      </c>
      <c r="AO50" s="2">
        <f>SUM(N50:AN50)</f>
        <v>126.67</v>
      </c>
      <c r="BA50" s="2">
        <f t="shared" si="5"/>
        <v>0</v>
      </c>
    </row>
    <row r="51" spans="1:53" s="2" customFormat="1" ht="15" customHeight="1" x14ac:dyDescent="0.25">
      <c r="A51" s="406" t="s">
        <v>350</v>
      </c>
      <c r="B51" s="2" t="s">
        <v>351</v>
      </c>
      <c r="C51" s="48" t="s">
        <v>356</v>
      </c>
      <c r="D51" s="2" t="s">
        <v>303</v>
      </c>
      <c r="E51" s="2" t="s">
        <v>228</v>
      </c>
      <c r="F51" s="2">
        <v>24</v>
      </c>
      <c r="H51" s="2">
        <f t="shared" si="6"/>
        <v>4015.45</v>
      </c>
      <c r="K51" s="393"/>
      <c r="L51" s="2" t="s">
        <v>194</v>
      </c>
      <c r="M51" s="2" t="s">
        <v>469</v>
      </c>
      <c r="AT51" s="2">
        <v>24</v>
      </c>
      <c r="BA51" s="2">
        <f t="shared" si="5"/>
        <v>24</v>
      </c>
    </row>
    <row r="52" spans="1:53" ht="15" customHeight="1" x14ac:dyDescent="0.25">
      <c r="A52" s="338" t="s">
        <v>358</v>
      </c>
      <c r="B52" s="19" t="s">
        <v>407</v>
      </c>
      <c r="C52" s="338" t="s">
        <v>419</v>
      </c>
      <c r="D52" s="1" t="s">
        <v>401</v>
      </c>
      <c r="E52" s="1" t="s">
        <v>402</v>
      </c>
      <c r="G52" s="373">
        <v>24.99</v>
      </c>
      <c r="H52" s="56">
        <f t="shared" si="6"/>
        <v>3990.46</v>
      </c>
      <c r="I52" s="7">
        <v>5</v>
      </c>
      <c r="J52" s="2">
        <f>G52-I52</f>
        <v>19.989999999999998</v>
      </c>
      <c r="K52" s="393">
        <v>815384524</v>
      </c>
      <c r="L52" s="2" t="s">
        <v>209</v>
      </c>
      <c r="M52" s="49" t="s">
        <v>469</v>
      </c>
      <c r="AJ52" s="7">
        <v>19.989999999999998</v>
      </c>
      <c r="AO52" s="2">
        <f>SUM(N52:AN52)</f>
        <v>19.989999999999998</v>
      </c>
      <c r="BA52" s="53">
        <f t="shared" si="5"/>
        <v>0</v>
      </c>
    </row>
    <row r="53" spans="1:53" ht="15" customHeight="1" x14ac:dyDescent="0.25">
      <c r="A53" s="338" t="s">
        <v>359</v>
      </c>
      <c r="B53" s="19" t="s">
        <v>407</v>
      </c>
      <c r="C53" s="338">
        <v>178704</v>
      </c>
      <c r="D53" s="1" t="s">
        <v>403</v>
      </c>
      <c r="E53" s="1" t="s">
        <v>404</v>
      </c>
      <c r="G53" s="373">
        <v>154</v>
      </c>
      <c r="H53" s="56">
        <f t="shared" si="6"/>
        <v>3836.46</v>
      </c>
      <c r="I53" s="7">
        <v>25.67</v>
      </c>
      <c r="J53" s="2">
        <f>G53-I53</f>
        <v>128.32999999999998</v>
      </c>
      <c r="K53" s="393">
        <v>226659933</v>
      </c>
      <c r="L53" s="2" t="s">
        <v>209</v>
      </c>
      <c r="M53" s="49" t="s">
        <v>469</v>
      </c>
      <c r="N53" s="365"/>
      <c r="O53" s="365"/>
      <c r="AM53" s="7">
        <v>128.33000000000001</v>
      </c>
      <c r="AO53" s="2">
        <f>SUM(N53:AN53)</f>
        <v>128.33000000000001</v>
      </c>
      <c r="BA53" s="53">
        <f t="shared" si="5"/>
        <v>0</v>
      </c>
    </row>
    <row r="54" spans="1:53" s="2" customFormat="1" ht="15" customHeight="1" x14ac:dyDescent="0.25">
      <c r="A54" s="406" t="s">
        <v>383</v>
      </c>
      <c r="B54" s="2" t="s">
        <v>407</v>
      </c>
      <c r="C54" s="48"/>
      <c r="D54" s="2" t="s">
        <v>338</v>
      </c>
      <c r="E54" s="2" t="s">
        <v>491</v>
      </c>
      <c r="F54" s="2">
        <v>1020</v>
      </c>
      <c r="H54" s="2">
        <f t="shared" si="6"/>
        <v>4856.46</v>
      </c>
      <c r="K54" s="393"/>
      <c r="L54" s="2" t="s">
        <v>340</v>
      </c>
      <c r="M54" s="2" t="s">
        <v>469</v>
      </c>
      <c r="AY54" s="2">
        <v>1020</v>
      </c>
      <c r="BA54" s="2">
        <f t="shared" si="5"/>
        <v>1020</v>
      </c>
    </row>
    <row r="55" spans="1:53" s="2" customFormat="1" ht="15" customHeight="1" x14ac:dyDescent="0.25">
      <c r="A55" s="406" t="s">
        <v>360</v>
      </c>
      <c r="B55" s="2" t="s">
        <v>409</v>
      </c>
      <c r="C55" s="48">
        <v>1988</v>
      </c>
      <c r="D55" s="2" t="s">
        <v>405</v>
      </c>
      <c r="E55" s="2" t="s">
        <v>406</v>
      </c>
      <c r="G55" s="356">
        <v>1224</v>
      </c>
      <c r="H55" s="2">
        <f t="shared" si="6"/>
        <v>3632.46</v>
      </c>
      <c r="I55" s="2">
        <v>204</v>
      </c>
      <c r="J55" s="2">
        <f>G55-I55</f>
        <v>1020</v>
      </c>
      <c r="K55" s="393">
        <v>238811203</v>
      </c>
      <c r="L55" s="2" t="s">
        <v>194</v>
      </c>
      <c r="M55" s="2" t="s">
        <v>469</v>
      </c>
      <c r="AC55" s="2">
        <v>1020</v>
      </c>
      <c r="AO55" s="2">
        <f>SUM(N55:AN55)</f>
        <v>1020</v>
      </c>
      <c r="BA55" s="2">
        <f t="shared" si="5"/>
        <v>0</v>
      </c>
    </row>
    <row r="56" spans="1:53" s="2" customFormat="1" ht="15" customHeight="1" x14ac:dyDescent="0.25">
      <c r="A56" s="406" t="s">
        <v>384</v>
      </c>
      <c r="B56" s="2" t="s">
        <v>410</v>
      </c>
      <c r="C56" s="48" t="s">
        <v>415</v>
      </c>
      <c r="D56" s="2" t="s">
        <v>343</v>
      </c>
      <c r="E56" s="2" t="s">
        <v>228</v>
      </c>
      <c r="F56" s="2">
        <v>24</v>
      </c>
      <c r="H56" s="2">
        <f t="shared" si="6"/>
        <v>3656.46</v>
      </c>
      <c r="K56" s="393"/>
      <c r="L56" s="2" t="s">
        <v>304</v>
      </c>
      <c r="M56" s="2" t="s">
        <v>469</v>
      </c>
      <c r="AT56" s="2">
        <v>24</v>
      </c>
      <c r="BA56" s="2">
        <f t="shared" si="5"/>
        <v>24</v>
      </c>
    </row>
    <row r="57" spans="1:53" s="2" customFormat="1" ht="15" customHeight="1" x14ac:dyDescent="0.25">
      <c r="A57" s="406" t="s">
        <v>385</v>
      </c>
      <c r="B57" s="2" t="s">
        <v>410</v>
      </c>
      <c r="C57" s="48" t="s">
        <v>417</v>
      </c>
      <c r="D57" s="2" t="s">
        <v>416</v>
      </c>
      <c r="E57" s="2" t="s">
        <v>228</v>
      </c>
      <c r="F57" s="2">
        <v>32</v>
      </c>
      <c r="H57" s="2">
        <f t="shared" si="6"/>
        <v>3688.46</v>
      </c>
      <c r="K57" s="393"/>
      <c r="L57" s="2" t="s">
        <v>304</v>
      </c>
      <c r="M57" s="2" t="s">
        <v>469</v>
      </c>
      <c r="AT57" s="2">
        <v>32</v>
      </c>
      <c r="BA57" s="2">
        <f t="shared" si="5"/>
        <v>32</v>
      </c>
    </row>
    <row r="58" spans="1:53" s="2" customFormat="1" ht="15" customHeight="1" x14ac:dyDescent="0.25">
      <c r="A58" s="406" t="s">
        <v>386</v>
      </c>
      <c r="B58" s="2" t="s">
        <v>410</v>
      </c>
      <c r="C58" s="48" t="s">
        <v>418</v>
      </c>
      <c r="D58" s="2" t="s">
        <v>411</v>
      </c>
      <c r="E58" s="2" t="s">
        <v>228</v>
      </c>
      <c r="F58" s="2">
        <v>16</v>
      </c>
      <c r="H58" s="2">
        <f t="shared" si="6"/>
        <v>3704.46</v>
      </c>
      <c r="K58" s="393"/>
      <c r="L58" s="2" t="s">
        <v>194</v>
      </c>
      <c r="M58" s="2" t="s">
        <v>469</v>
      </c>
      <c r="AT58" s="2">
        <v>16</v>
      </c>
      <c r="BA58" s="2">
        <f t="shared" si="5"/>
        <v>16</v>
      </c>
    </row>
    <row r="59" spans="1:53" s="2" customFormat="1" ht="15" customHeight="1" x14ac:dyDescent="0.25">
      <c r="A59" s="406" t="s">
        <v>362</v>
      </c>
      <c r="B59" s="2" t="s">
        <v>412</v>
      </c>
      <c r="C59" s="48"/>
      <c r="D59" s="2" t="s">
        <v>218</v>
      </c>
      <c r="E59" s="2" t="s">
        <v>414</v>
      </c>
      <c r="G59" s="356">
        <v>15</v>
      </c>
      <c r="H59" s="2">
        <f t="shared" si="6"/>
        <v>3689.46</v>
      </c>
      <c r="I59" s="2">
        <v>0</v>
      </c>
      <c r="J59" s="2">
        <f>G59-I59</f>
        <v>15</v>
      </c>
      <c r="K59" s="393"/>
      <c r="L59" s="2" t="s">
        <v>220</v>
      </c>
      <c r="M59" s="2" t="s">
        <v>469</v>
      </c>
      <c r="AC59" s="2">
        <v>15</v>
      </c>
      <c r="AO59" s="2">
        <f>SUM(N59:AN59)</f>
        <v>15</v>
      </c>
      <c r="BA59" s="2">
        <f t="shared" si="5"/>
        <v>0</v>
      </c>
    </row>
    <row r="60" spans="1:53" s="2" customFormat="1" ht="15" customHeight="1" x14ac:dyDescent="0.25">
      <c r="A60" s="406" t="s">
        <v>361</v>
      </c>
      <c r="B60" s="2" t="s">
        <v>412</v>
      </c>
      <c r="C60" s="48"/>
      <c r="D60" s="2" t="s">
        <v>202</v>
      </c>
      <c r="E60" s="2" t="s">
        <v>413</v>
      </c>
      <c r="G60" s="356">
        <v>496.4</v>
      </c>
      <c r="H60" s="2">
        <f t="shared" si="6"/>
        <v>3193.06</v>
      </c>
      <c r="I60" s="2">
        <v>0</v>
      </c>
      <c r="J60" s="2">
        <f>G60-I60</f>
        <v>496.4</v>
      </c>
      <c r="K60" s="393"/>
      <c r="L60" s="2" t="s">
        <v>220</v>
      </c>
      <c r="M60" s="2" t="s">
        <v>469</v>
      </c>
      <c r="N60" s="2">
        <v>470.4</v>
      </c>
      <c r="P60" s="2">
        <v>26</v>
      </c>
      <c r="AO60" s="2">
        <f>SUM(N60:AN60)</f>
        <v>496.4</v>
      </c>
      <c r="BA60" s="2">
        <f t="shared" si="5"/>
        <v>0</v>
      </c>
    </row>
    <row r="61" spans="1:53" s="2" customFormat="1" ht="15" customHeight="1" x14ac:dyDescent="0.25">
      <c r="A61" s="406" t="s">
        <v>387</v>
      </c>
      <c r="B61" s="2" t="s">
        <v>420</v>
      </c>
      <c r="C61" s="48" t="s">
        <v>422</v>
      </c>
      <c r="D61" s="2" t="s">
        <v>300</v>
      </c>
      <c r="E61" s="2" t="s">
        <v>421</v>
      </c>
      <c r="F61" s="2">
        <v>159.66999999999999</v>
      </c>
      <c r="H61" s="2">
        <f t="shared" si="6"/>
        <v>3352.73</v>
      </c>
      <c r="K61" s="393"/>
      <c r="L61" s="2" t="s">
        <v>194</v>
      </c>
      <c r="M61" s="2" t="s">
        <v>469</v>
      </c>
      <c r="AX61" s="2">
        <v>159.66999999999999</v>
      </c>
      <c r="BA61" s="2">
        <f t="shared" si="5"/>
        <v>159.66999999999999</v>
      </c>
    </row>
    <row r="62" spans="1:53" s="2" customFormat="1" ht="15" customHeight="1" x14ac:dyDescent="0.25">
      <c r="A62" s="406" t="s">
        <v>388</v>
      </c>
      <c r="B62" s="2" t="s">
        <v>424</v>
      </c>
      <c r="C62" s="48" t="s">
        <v>425</v>
      </c>
      <c r="D62" s="2" t="s">
        <v>233</v>
      </c>
      <c r="E62" s="2" t="s">
        <v>328</v>
      </c>
      <c r="F62" s="2">
        <v>9.67</v>
      </c>
      <c r="H62" s="2">
        <f t="shared" si="6"/>
        <v>3362.4</v>
      </c>
      <c r="K62" s="393"/>
      <c r="L62" s="2" t="s">
        <v>194</v>
      </c>
      <c r="M62" s="2" t="s">
        <v>469</v>
      </c>
      <c r="AX62" s="2">
        <v>9.67</v>
      </c>
      <c r="BA62" s="2">
        <f t="shared" si="5"/>
        <v>9.67</v>
      </c>
    </row>
    <row r="63" spans="1:53" s="2" customFormat="1" ht="15" customHeight="1" x14ac:dyDescent="0.25">
      <c r="A63" s="406" t="s">
        <v>389</v>
      </c>
      <c r="B63" s="2" t="s">
        <v>426</v>
      </c>
      <c r="C63" s="48" t="s">
        <v>428</v>
      </c>
      <c r="D63" s="2" t="s">
        <v>427</v>
      </c>
      <c r="E63" s="2" t="s">
        <v>228</v>
      </c>
      <c r="F63" s="2">
        <v>30</v>
      </c>
      <c r="H63" s="2">
        <f t="shared" si="6"/>
        <v>3392.4</v>
      </c>
      <c r="K63" s="393"/>
      <c r="L63" s="2" t="s">
        <v>194</v>
      </c>
      <c r="M63" s="2" t="s">
        <v>480</v>
      </c>
      <c r="AV63" s="2">
        <v>30</v>
      </c>
      <c r="BA63" s="2">
        <f t="shared" si="5"/>
        <v>30</v>
      </c>
    </row>
    <row r="64" spans="1:53" s="2" customFormat="1" ht="15" customHeight="1" x14ac:dyDescent="0.25">
      <c r="A64" s="406" t="s">
        <v>390</v>
      </c>
      <c r="B64" s="2" t="s">
        <v>430</v>
      </c>
      <c r="C64" s="48"/>
      <c r="D64" s="2" t="s">
        <v>94</v>
      </c>
      <c r="E64" s="2" t="s">
        <v>431</v>
      </c>
      <c r="F64" s="2">
        <v>2495.79</v>
      </c>
      <c r="H64" s="2">
        <f>IF($F64&gt;0,$H63+$F64,IF($G64&gt;0,$H63-$G64,$H63))</f>
        <v>5888.1900000000005</v>
      </c>
      <c r="K64" s="393"/>
      <c r="L64" s="2" t="s">
        <v>194</v>
      </c>
      <c r="M64" s="2" t="s">
        <v>480</v>
      </c>
      <c r="AZ64" s="2">
        <v>2495.79</v>
      </c>
      <c r="BA64" s="2">
        <f t="shared" si="5"/>
        <v>2495.79</v>
      </c>
    </row>
    <row r="65" spans="1:53" s="2" customFormat="1" ht="15" customHeight="1" x14ac:dyDescent="0.25">
      <c r="A65" s="406" t="s">
        <v>370</v>
      </c>
      <c r="B65" s="2" t="s">
        <v>449</v>
      </c>
      <c r="C65" s="48" t="s">
        <v>447</v>
      </c>
      <c r="D65" s="2" t="s">
        <v>202</v>
      </c>
      <c r="E65" s="2" t="s">
        <v>448</v>
      </c>
      <c r="G65" s="356">
        <v>18.36</v>
      </c>
      <c r="H65" s="2">
        <f t="shared" ref="H65:H170" si="7">IF($F65&gt;0,$H64+$F65,IF($G65&gt;0,$H64-$G65,$H64))</f>
        <v>5869.8300000000008</v>
      </c>
      <c r="I65" s="2">
        <v>0</v>
      </c>
      <c r="J65" s="2">
        <f t="shared" ref="J65:J72" si="8">G65-I65</f>
        <v>18.36</v>
      </c>
      <c r="K65" s="393"/>
      <c r="L65" s="2" t="s">
        <v>194</v>
      </c>
      <c r="M65" s="2" t="s">
        <v>480</v>
      </c>
      <c r="Q65" s="2">
        <v>18.36</v>
      </c>
      <c r="AO65" s="2">
        <f t="shared" ref="AO65:AO72" si="9">SUM(N65:AN65)</f>
        <v>18.36</v>
      </c>
      <c r="BA65" s="2">
        <f t="shared" si="5"/>
        <v>0</v>
      </c>
    </row>
    <row r="66" spans="1:53" s="2" customFormat="1" ht="15" customHeight="1" x14ac:dyDescent="0.25">
      <c r="A66" s="406" t="s">
        <v>369</v>
      </c>
      <c r="B66" s="2" t="s">
        <v>449</v>
      </c>
      <c r="C66" s="48"/>
      <c r="D66" s="2" t="s">
        <v>197</v>
      </c>
      <c r="E66" s="2" t="s">
        <v>446</v>
      </c>
      <c r="G66" s="356">
        <v>25</v>
      </c>
      <c r="H66" s="2">
        <f t="shared" si="7"/>
        <v>5844.8300000000008</v>
      </c>
      <c r="I66" s="2">
        <v>0</v>
      </c>
      <c r="J66" s="2">
        <f t="shared" si="8"/>
        <v>25</v>
      </c>
      <c r="K66" s="393"/>
      <c r="L66" s="2" t="s">
        <v>194</v>
      </c>
      <c r="M66" s="2" t="s">
        <v>480</v>
      </c>
      <c r="O66" s="2">
        <v>25</v>
      </c>
      <c r="AO66" s="2">
        <f t="shared" si="9"/>
        <v>25</v>
      </c>
      <c r="BA66" s="2">
        <f t="shared" si="5"/>
        <v>0</v>
      </c>
    </row>
    <row r="67" spans="1:53" s="2" customFormat="1" ht="15" customHeight="1" x14ac:dyDescent="0.25">
      <c r="A67" s="406" t="s">
        <v>364</v>
      </c>
      <c r="B67" s="2" t="s">
        <v>449</v>
      </c>
      <c r="C67" s="48" t="s">
        <v>435</v>
      </c>
      <c r="D67" s="2" t="s">
        <v>436</v>
      </c>
      <c r="E67" s="2" t="s">
        <v>437</v>
      </c>
      <c r="G67" s="356">
        <v>36</v>
      </c>
      <c r="H67" s="2">
        <f t="shared" si="7"/>
        <v>5808.8300000000008</v>
      </c>
      <c r="I67" s="2">
        <v>0</v>
      </c>
      <c r="J67" s="2">
        <f t="shared" si="8"/>
        <v>36</v>
      </c>
      <c r="K67" s="393"/>
      <c r="L67" s="2" t="s">
        <v>194</v>
      </c>
      <c r="M67" s="2" t="s">
        <v>480</v>
      </c>
      <c r="W67" s="2">
        <v>36</v>
      </c>
      <c r="AO67" s="2">
        <f t="shared" si="9"/>
        <v>36</v>
      </c>
      <c r="BA67" s="2">
        <f t="shared" si="5"/>
        <v>0</v>
      </c>
    </row>
    <row r="68" spans="1:53" s="2" customFormat="1" ht="15" customHeight="1" x14ac:dyDescent="0.25">
      <c r="A68" s="406" t="s">
        <v>365</v>
      </c>
      <c r="B68" s="2" t="s">
        <v>449</v>
      </c>
      <c r="C68" s="48" t="s">
        <v>438</v>
      </c>
      <c r="D68" s="2" t="s">
        <v>218</v>
      </c>
      <c r="E68" s="2" t="s">
        <v>439</v>
      </c>
      <c r="G68" s="356">
        <v>36.090000000000003</v>
      </c>
      <c r="H68" s="2">
        <f t="shared" si="7"/>
        <v>5772.7400000000007</v>
      </c>
      <c r="I68" s="2">
        <v>0</v>
      </c>
      <c r="J68" s="2">
        <f t="shared" si="8"/>
        <v>36.090000000000003</v>
      </c>
      <c r="K68" s="393"/>
      <c r="L68" s="2" t="s">
        <v>194</v>
      </c>
      <c r="M68" s="2" t="s">
        <v>480</v>
      </c>
      <c r="AC68" s="2">
        <v>36.090000000000003</v>
      </c>
      <c r="AO68" s="2">
        <f t="shared" si="9"/>
        <v>36.090000000000003</v>
      </c>
      <c r="BA68" s="2">
        <f t="shared" si="5"/>
        <v>0</v>
      </c>
    </row>
    <row r="69" spans="1:53" s="2" customFormat="1" ht="15" customHeight="1" x14ac:dyDescent="0.25">
      <c r="A69" s="406" t="s">
        <v>363</v>
      </c>
      <c r="B69" s="2" t="s">
        <v>449</v>
      </c>
      <c r="C69" s="48" t="s">
        <v>432</v>
      </c>
      <c r="D69" s="2" t="s">
        <v>433</v>
      </c>
      <c r="E69" s="2" t="s">
        <v>434</v>
      </c>
      <c r="G69" s="356">
        <v>75</v>
      </c>
      <c r="H69" s="2">
        <f t="shared" si="7"/>
        <v>5697.7400000000007</v>
      </c>
      <c r="I69" s="2">
        <v>0</v>
      </c>
      <c r="J69" s="2">
        <f t="shared" si="8"/>
        <v>75</v>
      </c>
      <c r="K69" s="393"/>
      <c r="L69" s="2" t="s">
        <v>194</v>
      </c>
      <c r="M69" s="2" t="s">
        <v>480</v>
      </c>
      <c r="AA69" s="2">
        <v>75</v>
      </c>
      <c r="AO69" s="2">
        <f t="shared" si="9"/>
        <v>75</v>
      </c>
      <c r="BA69" s="2">
        <f t="shared" si="5"/>
        <v>0</v>
      </c>
    </row>
    <row r="70" spans="1:53" s="2" customFormat="1" ht="15" customHeight="1" x14ac:dyDescent="0.25">
      <c r="A70" s="406" t="s">
        <v>367</v>
      </c>
      <c r="B70" s="2" t="s">
        <v>449</v>
      </c>
      <c r="C70" s="48">
        <v>80944</v>
      </c>
      <c r="D70" s="2" t="s">
        <v>442</v>
      </c>
      <c r="E70" s="2" t="s">
        <v>443</v>
      </c>
      <c r="G70" s="356">
        <v>103.2</v>
      </c>
      <c r="H70" s="2">
        <f t="shared" si="7"/>
        <v>5594.5400000000009</v>
      </c>
      <c r="I70" s="2">
        <v>17.2</v>
      </c>
      <c r="J70" s="2">
        <f t="shared" si="8"/>
        <v>86</v>
      </c>
      <c r="K70" s="393">
        <v>876328389</v>
      </c>
      <c r="L70" s="2" t="s">
        <v>194</v>
      </c>
      <c r="M70" s="2" t="s">
        <v>480</v>
      </c>
      <c r="T70" s="2">
        <v>86</v>
      </c>
      <c r="AO70" s="2">
        <f t="shared" si="9"/>
        <v>86</v>
      </c>
      <c r="BA70" s="2">
        <f t="shared" ref="BA70:BA77" si="10">SUM(AQ70:AZ70)</f>
        <v>0</v>
      </c>
    </row>
    <row r="71" spans="1:53" s="2" customFormat="1" ht="15" customHeight="1" x14ac:dyDescent="0.25">
      <c r="A71" s="406" t="s">
        <v>368</v>
      </c>
      <c r="B71" s="2" t="s">
        <v>449</v>
      </c>
      <c r="C71" s="48">
        <v>4</v>
      </c>
      <c r="D71" s="2" t="s">
        <v>444</v>
      </c>
      <c r="E71" s="2" t="s">
        <v>445</v>
      </c>
      <c r="G71" s="356">
        <v>170</v>
      </c>
      <c r="H71" s="2">
        <f t="shared" si="7"/>
        <v>5424.5400000000009</v>
      </c>
      <c r="I71" s="2">
        <v>0</v>
      </c>
      <c r="J71" s="2">
        <f t="shared" si="8"/>
        <v>170</v>
      </c>
      <c r="K71" s="393"/>
      <c r="L71" s="2" t="s">
        <v>194</v>
      </c>
      <c r="M71" s="2" t="s">
        <v>480</v>
      </c>
      <c r="AM71" s="2">
        <v>170</v>
      </c>
      <c r="AO71" s="2">
        <f t="shared" si="9"/>
        <v>170</v>
      </c>
      <c r="BA71" s="2">
        <f t="shared" si="10"/>
        <v>0</v>
      </c>
    </row>
    <row r="72" spans="1:53" s="2" customFormat="1" ht="15" customHeight="1" x14ac:dyDescent="0.25">
      <c r="A72" s="406" t="s">
        <v>366</v>
      </c>
      <c r="B72" s="2" t="s">
        <v>449</v>
      </c>
      <c r="C72" s="48">
        <v>1992</v>
      </c>
      <c r="D72" s="2" t="s">
        <v>440</v>
      </c>
      <c r="E72" s="2" t="s">
        <v>441</v>
      </c>
      <c r="G72" s="356">
        <v>280.8</v>
      </c>
      <c r="H72" s="2">
        <f t="shared" si="7"/>
        <v>5143.7400000000007</v>
      </c>
      <c r="I72" s="2">
        <v>46.8</v>
      </c>
      <c r="J72" s="2">
        <f t="shared" si="8"/>
        <v>234</v>
      </c>
      <c r="K72" s="393">
        <v>249372187</v>
      </c>
      <c r="L72" s="2" t="s">
        <v>194</v>
      </c>
      <c r="M72" s="2" t="s">
        <v>480</v>
      </c>
      <c r="R72" s="2">
        <v>234</v>
      </c>
      <c r="AO72" s="2">
        <f t="shared" si="9"/>
        <v>234</v>
      </c>
      <c r="BA72" s="2">
        <f t="shared" si="10"/>
        <v>0</v>
      </c>
    </row>
    <row r="73" spans="1:53" s="2" customFormat="1" ht="15" customHeight="1" x14ac:dyDescent="0.25">
      <c r="A73" s="406" t="s">
        <v>391</v>
      </c>
      <c r="B73" s="2" t="s">
        <v>449</v>
      </c>
      <c r="C73" s="48" t="s">
        <v>419</v>
      </c>
      <c r="D73" s="2" t="s">
        <v>401</v>
      </c>
      <c r="E73" s="2" t="s">
        <v>450</v>
      </c>
      <c r="F73" s="2">
        <v>24.99</v>
      </c>
      <c r="H73" s="2">
        <f t="shared" si="7"/>
        <v>5168.7300000000005</v>
      </c>
      <c r="K73" s="393"/>
      <c r="L73" s="2" t="s">
        <v>194</v>
      </c>
      <c r="M73" s="2" t="s">
        <v>480</v>
      </c>
      <c r="AX73" s="2">
        <v>24.99</v>
      </c>
      <c r="BA73" s="2">
        <f t="shared" si="10"/>
        <v>24.99</v>
      </c>
    </row>
    <row r="74" spans="1:53" s="2" customFormat="1" ht="15" customHeight="1" x14ac:dyDescent="0.25">
      <c r="A74" s="406" t="s">
        <v>371</v>
      </c>
      <c r="B74" s="2" t="s">
        <v>452</v>
      </c>
      <c r="C74" s="48" t="s">
        <v>447</v>
      </c>
      <c r="D74" s="2" t="s">
        <v>197</v>
      </c>
      <c r="E74" s="2" t="s">
        <v>451</v>
      </c>
      <c r="G74" s="356">
        <v>126.67</v>
      </c>
      <c r="H74" s="2">
        <f t="shared" si="7"/>
        <v>5042.0600000000004</v>
      </c>
      <c r="I74" s="2">
        <v>0</v>
      </c>
      <c r="J74" s="2">
        <f>G74-I74</f>
        <v>126.67</v>
      </c>
      <c r="K74" s="393"/>
      <c r="L74" s="2" t="s">
        <v>220</v>
      </c>
      <c r="M74" s="2" t="s">
        <v>480</v>
      </c>
      <c r="O74" s="2">
        <v>126.67</v>
      </c>
      <c r="AO74" s="2">
        <f>SUM(N74:AN74)</f>
        <v>126.67</v>
      </c>
      <c r="BA74" s="2">
        <f t="shared" si="10"/>
        <v>0</v>
      </c>
    </row>
    <row r="75" spans="1:53" s="2" customFormat="1" ht="15" customHeight="1" x14ac:dyDescent="0.25">
      <c r="A75" s="406" t="s">
        <v>393</v>
      </c>
      <c r="B75" s="2" t="s">
        <v>452</v>
      </c>
      <c r="C75" s="48" t="s">
        <v>467</v>
      </c>
      <c r="D75" s="2" t="s">
        <v>343</v>
      </c>
      <c r="E75" s="2" t="s">
        <v>228</v>
      </c>
      <c r="F75" s="2">
        <v>36</v>
      </c>
      <c r="H75" s="2">
        <f t="shared" si="7"/>
        <v>5078.0600000000004</v>
      </c>
      <c r="K75" s="393"/>
      <c r="L75" s="2" t="s">
        <v>304</v>
      </c>
      <c r="M75" s="2" t="s">
        <v>480</v>
      </c>
      <c r="AT75" s="2">
        <v>36</v>
      </c>
      <c r="BA75" s="2">
        <f t="shared" si="10"/>
        <v>36</v>
      </c>
    </row>
    <row r="76" spans="1:53" s="2" customFormat="1" ht="15" customHeight="1" x14ac:dyDescent="0.25">
      <c r="A76" s="406" t="s">
        <v>392</v>
      </c>
      <c r="B76" s="2" t="s">
        <v>452</v>
      </c>
      <c r="C76" s="48" t="s">
        <v>466</v>
      </c>
      <c r="D76" s="2" t="s">
        <v>306</v>
      </c>
      <c r="E76" s="2" t="s">
        <v>228</v>
      </c>
      <c r="F76" s="2">
        <v>48</v>
      </c>
      <c r="H76" s="2">
        <f t="shared" si="7"/>
        <v>5126.0600000000004</v>
      </c>
      <c r="K76" s="393"/>
      <c r="L76" s="2" t="s">
        <v>304</v>
      </c>
      <c r="M76" s="2" t="s">
        <v>480</v>
      </c>
      <c r="AT76" s="2">
        <v>48</v>
      </c>
      <c r="BA76" s="2">
        <f t="shared" si="10"/>
        <v>48</v>
      </c>
    </row>
    <row r="77" spans="1:53" s="2" customFormat="1" ht="15" customHeight="1" x14ac:dyDescent="0.25">
      <c r="A77" s="406" t="s">
        <v>394</v>
      </c>
      <c r="B77" s="2" t="s">
        <v>453</v>
      </c>
      <c r="C77" s="48" t="s">
        <v>468</v>
      </c>
      <c r="D77" s="2" t="s">
        <v>454</v>
      </c>
      <c r="E77" s="2" t="s">
        <v>455</v>
      </c>
      <c r="F77" s="2">
        <v>150</v>
      </c>
      <c r="H77" s="2">
        <f t="shared" si="7"/>
        <v>5276.06</v>
      </c>
      <c r="K77" s="393"/>
      <c r="L77" s="2" t="s">
        <v>194</v>
      </c>
      <c r="M77" s="2" t="s">
        <v>480</v>
      </c>
      <c r="AV77" s="2">
        <v>150</v>
      </c>
      <c r="BA77" s="2">
        <f t="shared" si="10"/>
        <v>150</v>
      </c>
    </row>
    <row r="78" spans="1:53" ht="15" customHeight="1" x14ac:dyDescent="0.25">
      <c r="A78" s="392" t="s">
        <v>372</v>
      </c>
      <c r="B78" s="13" t="s">
        <v>462</v>
      </c>
      <c r="C78" s="15"/>
      <c r="D78" s="16" t="s">
        <v>222</v>
      </c>
      <c r="E78" s="384" t="s">
        <v>185</v>
      </c>
      <c r="F78" s="1"/>
      <c r="G78" s="385">
        <v>1406.75</v>
      </c>
      <c r="H78" s="56">
        <f t="shared" si="7"/>
        <v>3869.3100000000004</v>
      </c>
      <c r="I78" s="7">
        <v>234.46</v>
      </c>
      <c r="J78" s="2">
        <f>G78-I78</f>
        <v>1172.29</v>
      </c>
      <c r="K78" s="393">
        <v>523041202</v>
      </c>
      <c r="L78" s="2" t="s">
        <v>226</v>
      </c>
      <c r="M78" s="49" t="s">
        <v>480</v>
      </c>
      <c r="AK78" s="7">
        <v>1172.29</v>
      </c>
      <c r="AO78" s="2">
        <f t="shared" ref="AO78:AO90" si="11">SUM(N78:AN78)</f>
        <v>1172.29</v>
      </c>
      <c r="BA78" s="53"/>
    </row>
    <row r="79" spans="1:53" ht="15" customHeight="1" x14ac:dyDescent="0.25">
      <c r="A79" s="338" t="s">
        <v>374</v>
      </c>
      <c r="B79" s="19" t="s">
        <v>463</v>
      </c>
      <c r="C79" s="338" t="s">
        <v>447</v>
      </c>
      <c r="D79" s="1" t="s">
        <v>218</v>
      </c>
      <c r="E79" s="1" t="s">
        <v>465</v>
      </c>
      <c r="G79" s="373">
        <v>15</v>
      </c>
      <c r="H79" s="56">
        <f t="shared" si="7"/>
        <v>3854.3100000000004</v>
      </c>
      <c r="I79" s="7">
        <v>0</v>
      </c>
      <c r="J79" s="2">
        <f t="shared" ref="J79:J170" si="12">G79-I79</f>
        <v>15</v>
      </c>
      <c r="L79" s="2" t="s">
        <v>220</v>
      </c>
      <c r="M79" s="49" t="s">
        <v>480</v>
      </c>
      <c r="AC79" s="7">
        <v>15</v>
      </c>
      <c r="AO79" s="2">
        <f t="shared" si="11"/>
        <v>15</v>
      </c>
      <c r="BA79" s="53">
        <f t="shared" ref="BA79:BA90" si="13">SUM(AQ79:AZ79)</f>
        <v>0</v>
      </c>
    </row>
    <row r="80" spans="1:53" ht="15" customHeight="1" x14ac:dyDescent="0.25">
      <c r="A80" s="338" t="s">
        <v>373</v>
      </c>
      <c r="B80" s="19" t="s">
        <v>463</v>
      </c>
      <c r="C80" s="338" t="s">
        <v>447</v>
      </c>
      <c r="D80" s="1" t="s">
        <v>202</v>
      </c>
      <c r="E80" s="1" t="s">
        <v>464</v>
      </c>
      <c r="G80" s="373">
        <v>496.4</v>
      </c>
      <c r="H80" s="56">
        <f t="shared" si="7"/>
        <v>3357.9100000000003</v>
      </c>
      <c r="I80" s="7">
        <v>0</v>
      </c>
      <c r="J80" s="2">
        <f t="shared" si="12"/>
        <v>496.4</v>
      </c>
      <c r="L80" s="2" t="s">
        <v>220</v>
      </c>
      <c r="M80" s="49" t="s">
        <v>480</v>
      </c>
      <c r="N80" s="53">
        <v>470.4</v>
      </c>
      <c r="P80" s="53">
        <v>26</v>
      </c>
      <c r="AO80" s="2">
        <f t="shared" si="11"/>
        <v>496.4</v>
      </c>
      <c r="BA80" s="53">
        <f t="shared" si="13"/>
        <v>0</v>
      </c>
    </row>
    <row r="81" spans="1:53" ht="15" customHeight="1" x14ac:dyDescent="0.25">
      <c r="A81" s="338" t="s">
        <v>375</v>
      </c>
      <c r="B81" s="19" t="s">
        <v>470</v>
      </c>
      <c r="C81" s="338" t="s">
        <v>471</v>
      </c>
      <c r="D81" s="1" t="s">
        <v>197</v>
      </c>
      <c r="E81" s="1" t="s">
        <v>472</v>
      </c>
      <c r="G81" s="373">
        <v>126.67</v>
      </c>
      <c r="H81" s="56">
        <f t="shared" si="7"/>
        <v>3231.2400000000002</v>
      </c>
      <c r="I81" s="7">
        <v>0</v>
      </c>
      <c r="J81" s="2">
        <f t="shared" si="12"/>
        <v>126.67</v>
      </c>
      <c r="L81" s="2" t="s">
        <v>220</v>
      </c>
      <c r="M81" s="172" t="s">
        <v>536</v>
      </c>
      <c r="O81" s="53">
        <v>126.67</v>
      </c>
      <c r="AO81" s="2">
        <f t="shared" si="11"/>
        <v>126.67</v>
      </c>
      <c r="BA81" s="53">
        <f t="shared" si="13"/>
        <v>0</v>
      </c>
    </row>
    <row r="82" spans="1:53" ht="15" customHeight="1" x14ac:dyDescent="0.25">
      <c r="A82" s="338" t="s">
        <v>376</v>
      </c>
      <c r="B82" s="19" t="s">
        <v>473</v>
      </c>
      <c r="C82" s="338" t="s">
        <v>479</v>
      </c>
      <c r="D82" s="1" t="s">
        <v>222</v>
      </c>
      <c r="E82" s="1" t="s">
        <v>185</v>
      </c>
      <c r="F82" s="4"/>
      <c r="G82" s="373">
        <v>465.52</v>
      </c>
      <c r="H82" s="56">
        <f t="shared" si="7"/>
        <v>2765.7200000000003</v>
      </c>
      <c r="I82" s="7">
        <v>77.59</v>
      </c>
      <c r="J82" s="2">
        <f t="shared" si="12"/>
        <v>387.92999999999995</v>
      </c>
      <c r="K82" s="393">
        <v>523041202</v>
      </c>
      <c r="L82" s="2" t="s">
        <v>226</v>
      </c>
      <c r="M82" s="172" t="s">
        <v>536</v>
      </c>
      <c r="AK82" s="7">
        <v>387.93</v>
      </c>
      <c r="AO82" s="2">
        <f t="shared" si="11"/>
        <v>387.93</v>
      </c>
      <c r="BA82" s="53">
        <f t="shared" si="13"/>
        <v>0</v>
      </c>
    </row>
    <row r="83" spans="1:53" ht="15" customHeight="1" x14ac:dyDescent="0.25">
      <c r="A83" s="338" t="s">
        <v>378</v>
      </c>
      <c r="B83" s="19" t="s">
        <v>474</v>
      </c>
      <c r="C83" s="338" t="s">
        <v>476</v>
      </c>
      <c r="D83" s="1" t="s">
        <v>218</v>
      </c>
      <c r="E83" s="1" t="s">
        <v>477</v>
      </c>
      <c r="F83" s="4"/>
      <c r="G83" s="373">
        <v>15</v>
      </c>
      <c r="H83" s="56">
        <f t="shared" si="7"/>
        <v>2750.7200000000003</v>
      </c>
      <c r="I83" s="7">
        <v>0</v>
      </c>
      <c r="J83" s="2">
        <f t="shared" si="12"/>
        <v>15</v>
      </c>
      <c r="L83" s="2" t="s">
        <v>220</v>
      </c>
      <c r="M83" s="172" t="s">
        <v>536</v>
      </c>
      <c r="AC83" s="7">
        <v>15</v>
      </c>
      <c r="AO83" s="2">
        <f t="shared" si="11"/>
        <v>15</v>
      </c>
      <c r="BA83" s="53">
        <f t="shared" si="13"/>
        <v>0</v>
      </c>
    </row>
    <row r="84" spans="1:53" ht="15" customHeight="1" x14ac:dyDescent="0.25">
      <c r="A84" s="338" t="s">
        <v>377</v>
      </c>
      <c r="B84" s="19" t="s">
        <v>474</v>
      </c>
      <c r="C84" s="338" t="s">
        <v>471</v>
      </c>
      <c r="D84" s="1" t="s">
        <v>202</v>
      </c>
      <c r="E84" s="1" t="s">
        <v>475</v>
      </c>
      <c r="G84" s="373">
        <v>496.4</v>
      </c>
      <c r="H84" s="56">
        <f t="shared" si="7"/>
        <v>2254.3200000000002</v>
      </c>
      <c r="I84" s="7">
        <v>0</v>
      </c>
      <c r="J84" s="2">
        <f t="shared" si="12"/>
        <v>496.4</v>
      </c>
      <c r="L84" s="2" t="s">
        <v>220</v>
      </c>
      <c r="M84" s="172" t="s">
        <v>536</v>
      </c>
      <c r="N84" s="53">
        <v>470.4</v>
      </c>
      <c r="P84" s="53">
        <v>26</v>
      </c>
      <c r="AO84" s="2">
        <f t="shared" si="11"/>
        <v>496.4</v>
      </c>
      <c r="BA84" s="53">
        <f t="shared" si="13"/>
        <v>0</v>
      </c>
    </row>
    <row r="85" spans="1:53" ht="15" customHeight="1" x14ac:dyDescent="0.25">
      <c r="A85" s="392" t="s">
        <v>396</v>
      </c>
      <c r="B85" s="13" t="s">
        <v>504</v>
      </c>
      <c r="C85" s="15" t="s">
        <v>522</v>
      </c>
      <c r="D85" s="17" t="s">
        <v>227</v>
      </c>
      <c r="E85" s="17" t="s">
        <v>228</v>
      </c>
      <c r="F85" s="4">
        <v>112</v>
      </c>
      <c r="G85" s="358"/>
      <c r="H85" s="56">
        <f t="shared" si="7"/>
        <v>2366.3200000000002</v>
      </c>
      <c r="I85" s="2">
        <v>0</v>
      </c>
      <c r="J85" s="2">
        <f t="shared" si="12"/>
        <v>0</v>
      </c>
      <c r="L85" s="2" t="s">
        <v>194</v>
      </c>
      <c r="M85" s="172" t="s">
        <v>536</v>
      </c>
      <c r="AO85" s="2">
        <f t="shared" si="11"/>
        <v>0</v>
      </c>
      <c r="AT85" s="53">
        <v>112</v>
      </c>
      <c r="BA85" s="53">
        <f t="shared" si="13"/>
        <v>112</v>
      </c>
    </row>
    <row r="86" spans="1:53" ht="15" customHeight="1" x14ac:dyDescent="0.25">
      <c r="A86" s="392" t="s">
        <v>379</v>
      </c>
      <c r="B86" s="13" t="s">
        <v>505</v>
      </c>
      <c r="C86" s="15"/>
      <c r="D86" s="17" t="s">
        <v>218</v>
      </c>
      <c r="E86" s="17" t="s">
        <v>523</v>
      </c>
      <c r="F86" s="4"/>
      <c r="G86" s="358">
        <v>36</v>
      </c>
      <c r="H86" s="56">
        <f t="shared" si="7"/>
        <v>2330.3200000000002</v>
      </c>
      <c r="I86" s="7">
        <v>0</v>
      </c>
      <c r="J86" s="2">
        <f t="shared" si="12"/>
        <v>36</v>
      </c>
      <c r="L86" s="2" t="s">
        <v>194</v>
      </c>
      <c r="M86" s="370" t="s">
        <v>551</v>
      </c>
      <c r="AC86" s="7">
        <v>36</v>
      </c>
      <c r="AO86" s="2">
        <f t="shared" si="11"/>
        <v>36</v>
      </c>
      <c r="BA86" s="53">
        <f t="shared" si="13"/>
        <v>0</v>
      </c>
    </row>
    <row r="87" spans="1:53" ht="15" customHeight="1" x14ac:dyDescent="0.25">
      <c r="A87" s="392" t="s">
        <v>380</v>
      </c>
      <c r="B87" s="13" t="s">
        <v>505</v>
      </c>
      <c r="C87" s="15" t="s">
        <v>524</v>
      </c>
      <c r="D87" s="17" t="s">
        <v>506</v>
      </c>
      <c r="E87" s="17" t="s">
        <v>507</v>
      </c>
      <c r="F87" s="4"/>
      <c r="G87" s="358">
        <v>72</v>
      </c>
      <c r="H87" s="56">
        <f t="shared" si="7"/>
        <v>2258.3200000000002</v>
      </c>
      <c r="I87" s="56">
        <v>12</v>
      </c>
      <c r="J87" s="2">
        <f t="shared" si="12"/>
        <v>60</v>
      </c>
      <c r="K87" s="393">
        <v>775395874</v>
      </c>
      <c r="L87" s="2" t="s">
        <v>194</v>
      </c>
      <c r="M87" s="370" t="s">
        <v>551</v>
      </c>
      <c r="AC87" s="7">
        <v>60</v>
      </c>
      <c r="AO87" s="2">
        <f t="shared" si="11"/>
        <v>60</v>
      </c>
      <c r="BA87" s="53">
        <f t="shared" si="13"/>
        <v>0</v>
      </c>
    </row>
    <row r="88" spans="1:53" ht="15" customHeight="1" x14ac:dyDescent="0.25">
      <c r="A88" s="392" t="s">
        <v>381</v>
      </c>
      <c r="B88" s="13" t="s">
        <v>505</v>
      </c>
      <c r="C88" s="15" t="s">
        <v>525</v>
      </c>
      <c r="D88" s="17" t="s">
        <v>212</v>
      </c>
      <c r="E88" s="17" t="s">
        <v>508</v>
      </c>
      <c r="F88" s="4"/>
      <c r="G88" s="358">
        <v>327.60000000000002</v>
      </c>
      <c r="H88" s="56">
        <f t="shared" si="7"/>
        <v>1930.7200000000003</v>
      </c>
      <c r="I88" s="56">
        <v>54.6</v>
      </c>
      <c r="J88" s="2">
        <f t="shared" si="12"/>
        <v>273</v>
      </c>
      <c r="K88" s="393">
        <v>106995054</v>
      </c>
      <c r="L88" s="2" t="s">
        <v>194</v>
      </c>
      <c r="M88" s="370" t="s">
        <v>551</v>
      </c>
      <c r="U88" s="53">
        <v>273</v>
      </c>
      <c r="AO88" s="2">
        <f t="shared" si="11"/>
        <v>273</v>
      </c>
      <c r="BA88" s="53">
        <f t="shared" si="13"/>
        <v>0</v>
      </c>
    </row>
    <row r="89" spans="1:53" s="367" customFormat="1" ht="15.75" customHeight="1" x14ac:dyDescent="0.25">
      <c r="A89" s="338" t="s">
        <v>382</v>
      </c>
      <c r="B89" s="13" t="s">
        <v>505</v>
      </c>
      <c r="C89" s="338" t="s">
        <v>526</v>
      </c>
      <c r="D89" s="367" t="s">
        <v>202</v>
      </c>
      <c r="E89" s="367" t="s">
        <v>509</v>
      </c>
      <c r="F89" s="368"/>
      <c r="G89" s="369">
        <v>19.690000000000001</v>
      </c>
      <c r="H89" s="56">
        <f t="shared" si="7"/>
        <v>1911.0300000000002</v>
      </c>
      <c r="I89" s="7">
        <v>0</v>
      </c>
      <c r="J89" s="2">
        <f t="shared" si="12"/>
        <v>19.690000000000001</v>
      </c>
      <c r="K89" s="393"/>
      <c r="L89" s="2" t="s">
        <v>194</v>
      </c>
      <c r="M89" s="370" t="s">
        <v>551</v>
      </c>
      <c r="N89" s="371"/>
      <c r="O89" s="371"/>
      <c r="P89" s="371"/>
      <c r="Q89" s="372">
        <v>19.690000000000001</v>
      </c>
      <c r="R89" s="371"/>
      <c r="S89" s="372"/>
      <c r="T89" s="371"/>
      <c r="U89" s="371"/>
      <c r="V89" s="371"/>
      <c r="W89" s="372"/>
      <c r="X89" s="372"/>
      <c r="Y89" s="372"/>
      <c r="Z89" s="372"/>
      <c r="AA89" s="372"/>
      <c r="AB89" s="372"/>
      <c r="AC89" s="372"/>
      <c r="AD89" s="372"/>
      <c r="AE89" s="372"/>
      <c r="AF89" s="372"/>
      <c r="AG89" s="372"/>
      <c r="AH89" s="372"/>
      <c r="AI89" s="372"/>
      <c r="AJ89" s="372"/>
      <c r="AK89" s="372"/>
      <c r="AL89" s="372"/>
      <c r="AM89" s="372"/>
      <c r="AN89" s="372"/>
      <c r="AO89" s="2">
        <f t="shared" si="11"/>
        <v>19.690000000000001</v>
      </c>
      <c r="AQ89" s="371"/>
      <c r="AR89" s="371"/>
      <c r="AS89" s="371"/>
      <c r="AT89" s="371"/>
      <c r="AU89" s="371"/>
      <c r="AV89" s="371"/>
      <c r="AW89" s="371"/>
      <c r="AX89" s="371"/>
      <c r="AY89" s="371"/>
      <c r="AZ89" s="371"/>
      <c r="BA89" s="53">
        <f t="shared" si="13"/>
        <v>0</v>
      </c>
    </row>
    <row r="90" spans="1:53" ht="15" customHeight="1" x14ac:dyDescent="0.25">
      <c r="A90" s="338" t="s">
        <v>527</v>
      </c>
      <c r="B90" s="13" t="s">
        <v>505</v>
      </c>
      <c r="C90" s="338" t="s">
        <v>526</v>
      </c>
      <c r="D90" s="1" t="s">
        <v>202</v>
      </c>
      <c r="E90" s="1" t="s">
        <v>510</v>
      </c>
      <c r="G90" s="358">
        <v>73.5</v>
      </c>
      <c r="H90" s="56">
        <f t="shared" si="7"/>
        <v>1837.5300000000002</v>
      </c>
      <c r="I90" s="7">
        <v>0</v>
      </c>
      <c r="J90" s="2">
        <f t="shared" si="12"/>
        <v>73.5</v>
      </c>
      <c r="L90" s="2" t="s">
        <v>194</v>
      </c>
      <c r="M90" s="370" t="s">
        <v>551</v>
      </c>
      <c r="N90" s="53">
        <v>73.5</v>
      </c>
      <c r="AO90" s="2">
        <f t="shared" si="11"/>
        <v>73.5</v>
      </c>
      <c r="BA90" s="53">
        <f t="shared" si="13"/>
        <v>0</v>
      </c>
    </row>
    <row r="91" spans="1:53" ht="15" customHeight="1" x14ac:dyDescent="0.25">
      <c r="A91" s="338" t="s">
        <v>528</v>
      </c>
      <c r="B91" s="19" t="s">
        <v>513</v>
      </c>
      <c r="C91" s="48" t="s">
        <v>526</v>
      </c>
      <c r="D91" s="1" t="s">
        <v>197</v>
      </c>
      <c r="E91" s="1" t="s">
        <v>511</v>
      </c>
      <c r="G91" s="358">
        <v>126.67</v>
      </c>
      <c r="H91" s="56">
        <f t="shared" si="7"/>
        <v>1710.8600000000001</v>
      </c>
      <c r="I91" s="7">
        <v>0</v>
      </c>
      <c r="J91" s="2">
        <f t="shared" si="12"/>
        <v>126.67</v>
      </c>
      <c r="L91" s="2" t="s">
        <v>194</v>
      </c>
      <c r="M91" s="370" t="s">
        <v>551</v>
      </c>
      <c r="O91" s="53">
        <v>126.67</v>
      </c>
      <c r="AO91" s="2">
        <f t="shared" ref="AO91:AO170" si="14">SUM(N91:AN91)</f>
        <v>126.67</v>
      </c>
      <c r="BA91" s="53">
        <f t="shared" ref="BA91:BA170" si="15">SUM(AQ91:AZ91)</f>
        <v>0</v>
      </c>
    </row>
    <row r="92" spans="1:53" ht="15" customHeight="1" x14ac:dyDescent="0.25">
      <c r="A92" s="338" t="s">
        <v>456</v>
      </c>
      <c r="B92" s="19" t="s">
        <v>514</v>
      </c>
      <c r="D92" s="1" t="s">
        <v>212</v>
      </c>
      <c r="E92" s="1" t="s">
        <v>512</v>
      </c>
      <c r="F92" s="2">
        <v>6250</v>
      </c>
      <c r="G92" s="358"/>
      <c r="H92" s="56">
        <f t="shared" si="7"/>
        <v>7960.8600000000006</v>
      </c>
      <c r="J92" s="2">
        <f t="shared" si="12"/>
        <v>0</v>
      </c>
      <c r="L92" s="2" t="s">
        <v>194</v>
      </c>
      <c r="M92" s="370" t="s">
        <v>551</v>
      </c>
      <c r="AO92" s="2">
        <f t="shared" si="14"/>
        <v>0</v>
      </c>
      <c r="AQ92" s="53">
        <v>6250</v>
      </c>
      <c r="BA92" s="53">
        <f t="shared" si="15"/>
        <v>6250</v>
      </c>
    </row>
    <row r="93" spans="1:53" ht="15" customHeight="1" x14ac:dyDescent="0.25">
      <c r="A93" s="338" t="s">
        <v>457</v>
      </c>
      <c r="B93" s="19" t="s">
        <v>514</v>
      </c>
      <c r="C93" s="48">
        <v>2443</v>
      </c>
      <c r="D93" s="1" t="s">
        <v>192</v>
      </c>
      <c r="F93" s="2">
        <v>2026.26</v>
      </c>
      <c r="G93" s="358"/>
      <c r="H93" s="56">
        <f t="shared" si="7"/>
        <v>9987.1200000000008</v>
      </c>
      <c r="I93" s="56"/>
      <c r="J93" s="2">
        <f t="shared" si="12"/>
        <v>0</v>
      </c>
      <c r="L93" s="2" t="s">
        <v>194</v>
      </c>
      <c r="M93" s="370" t="s">
        <v>551</v>
      </c>
      <c r="AO93" s="2">
        <f t="shared" si="14"/>
        <v>0</v>
      </c>
      <c r="AU93" s="53">
        <v>1317.75</v>
      </c>
      <c r="AW93" s="53">
        <v>708.51</v>
      </c>
      <c r="BA93" s="53">
        <f t="shared" si="15"/>
        <v>2026.26</v>
      </c>
    </row>
    <row r="94" spans="1:53" ht="15" customHeight="1" x14ac:dyDescent="0.25">
      <c r="A94" s="338" t="s">
        <v>458</v>
      </c>
      <c r="B94" s="19" t="s">
        <v>515</v>
      </c>
      <c r="C94" s="48">
        <v>2444</v>
      </c>
      <c r="D94" s="1" t="s">
        <v>306</v>
      </c>
      <c r="E94" s="1" t="s">
        <v>228</v>
      </c>
      <c r="F94" s="2">
        <v>64</v>
      </c>
      <c r="G94" s="358"/>
      <c r="H94" s="56">
        <f t="shared" si="7"/>
        <v>10051.120000000001</v>
      </c>
      <c r="I94" s="56"/>
      <c r="J94" s="2">
        <f t="shared" si="12"/>
        <v>0</v>
      </c>
      <c r="L94" s="2" t="s">
        <v>304</v>
      </c>
      <c r="M94" s="370" t="s">
        <v>551</v>
      </c>
      <c r="AO94" s="2">
        <f t="shared" si="14"/>
        <v>0</v>
      </c>
      <c r="AT94" s="53">
        <v>64</v>
      </c>
      <c r="BA94" s="53">
        <f t="shared" si="15"/>
        <v>64</v>
      </c>
    </row>
    <row r="95" spans="1:53" ht="15" customHeight="1" x14ac:dyDescent="0.25">
      <c r="A95" s="338" t="s">
        <v>459</v>
      </c>
      <c r="B95" s="19" t="s">
        <v>515</v>
      </c>
      <c r="C95" s="48">
        <v>2444</v>
      </c>
      <c r="D95" s="1" t="s">
        <v>306</v>
      </c>
      <c r="E95" s="1" t="s">
        <v>228</v>
      </c>
      <c r="F95" s="2">
        <v>80</v>
      </c>
      <c r="G95" s="358"/>
      <c r="H95" s="56">
        <f t="shared" si="7"/>
        <v>10131.120000000001</v>
      </c>
      <c r="I95" s="56"/>
      <c r="J95" s="2">
        <f t="shared" si="12"/>
        <v>0</v>
      </c>
      <c r="L95" s="2" t="s">
        <v>304</v>
      </c>
      <c r="M95" s="370" t="s">
        <v>551</v>
      </c>
      <c r="AO95" s="2">
        <f t="shared" si="14"/>
        <v>0</v>
      </c>
      <c r="AT95" s="53">
        <v>80</v>
      </c>
      <c r="BA95" s="53">
        <f t="shared" si="15"/>
        <v>80</v>
      </c>
    </row>
    <row r="96" spans="1:53" ht="15" customHeight="1" x14ac:dyDescent="0.25">
      <c r="A96" s="338" t="s">
        <v>460</v>
      </c>
      <c r="B96" s="19" t="s">
        <v>515</v>
      </c>
      <c r="C96" s="48" t="s">
        <v>529</v>
      </c>
      <c r="D96" s="1" t="s">
        <v>416</v>
      </c>
      <c r="E96" s="1" t="s">
        <v>228</v>
      </c>
      <c r="F96" s="2">
        <v>32</v>
      </c>
      <c r="G96" s="358"/>
      <c r="H96" s="56">
        <f t="shared" si="7"/>
        <v>10163.120000000001</v>
      </c>
      <c r="I96" s="56"/>
      <c r="J96" s="2">
        <f t="shared" si="12"/>
        <v>0</v>
      </c>
      <c r="L96" s="2" t="s">
        <v>304</v>
      </c>
      <c r="M96" s="370" t="s">
        <v>551</v>
      </c>
      <c r="AO96" s="2">
        <f t="shared" si="14"/>
        <v>0</v>
      </c>
      <c r="AT96" s="53">
        <v>32</v>
      </c>
      <c r="BA96" s="53">
        <f t="shared" si="15"/>
        <v>32</v>
      </c>
    </row>
    <row r="97" spans="1:53" ht="15" customHeight="1" x14ac:dyDescent="0.25">
      <c r="A97" s="338" t="s">
        <v>461</v>
      </c>
      <c r="B97" s="19" t="s">
        <v>515</v>
      </c>
      <c r="C97" s="48">
        <v>2445</v>
      </c>
      <c r="D97" s="1" t="s">
        <v>303</v>
      </c>
      <c r="E97" s="1" t="s">
        <v>530</v>
      </c>
      <c r="F97" s="2">
        <v>24</v>
      </c>
      <c r="G97" s="358"/>
      <c r="H97" s="56">
        <f t="shared" si="7"/>
        <v>10187.120000000001</v>
      </c>
      <c r="I97" s="56"/>
      <c r="J97" s="2">
        <f t="shared" si="12"/>
        <v>0</v>
      </c>
      <c r="L97" s="2" t="s">
        <v>304</v>
      </c>
      <c r="M97" s="370" t="s">
        <v>551</v>
      </c>
      <c r="AO97" s="2">
        <f t="shared" si="14"/>
        <v>0</v>
      </c>
      <c r="AT97" s="53">
        <v>24</v>
      </c>
      <c r="BA97" s="53">
        <f t="shared" si="15"/>
        <v>24</v>
      </c>
    </row>
    <row r="98" spans="1:53" ht="15" customHeight="1" x14ac:dyDescent="0.25">
      <c r="A98" s="338" t="s">
        <v>531</v>
      </c>
      <c r="B98" s="19" t="s">
        <v>516</v>
      </c>
      <c r="C98" s="48" t="s">
        <v>532</v>
      </c>
      <c r="D98" s="1" t="s">
        <v>517</v>
      </c>
      <c r="E98" s="1" t="s">
        <v>185</v>
      </c>
      <c r="G98" s="358">
        <v>776.46</v>
      </c>
      <c r="H98" s="56">
        <f t="shared" si="7"/>
        <v>9410.66</v>
      </c>
      <c r="I98" s="56">
        <v>129.41</v>
      </c>
      <c r="J98" s="2">
        <f t="shared" si="12"/>
        <v>647.05000000000007</v>
      </c>
      <c r="K98" s="393">
        <v>523041202</v>
      </c>
      <c r="L98" s="2" t="s">
        <v>226</v>
      </c>
      <c r="M98" s="370" t="s">
        <v>551</v>
      </c>
      <c r="AK98" s="7">
        <v>647.04999999999995</v>
      </c>
      <c r="AO98" s="2">
        <f t="shared" si="14"/>
        <v>647.04999999999995</v>
      </c>
      <c r="BA98" s="53">
        <f t="shared" si="15"/>
        <v>0</v>
      </c>
    </row>
    <row r="99" spans="1:53" ht="15" customHeight="1" x14ac:dyDescent="0.25">
      <c r="A99" s="338" t="s">
        <v>533</v>
      </c>
      <c r="B99" s="19" t="s">
        <v>518</v>
      </c>
      <c r="C99" s="48">
        <v>48222</v>
      </c>
      <c r="D99" s="1" t="s">
        <v>519</v>
      </c>
      <c r="E99" s="1" t="s">
        <v>520</v>
      </c>
      <c r="G99" s="358">
        <v>52.91</v>
      </c>
      <c r="H99" s="56">
        <f t="shared" si="7"/>
        <v>9357.75</v>
      </c>
      <c r="I99" s="56">
        <v>8.82</v>
      </c>
      <c r="J99" s="2">
        <f t="shared" si="12"/>
        <v>44.089999999999996</v>
      </c>
      <c r="L99" s="2" t="s">
        <v>209</v>
      </c>
      <c r="M99" s="370" t="s">
        <v>551</v>
      </c>
      <c r="AC99" s="7">
        <v>44.09</v>
      </c>
      <c r="AO99" s="2">
        <f t="shared" si="14"/>
        <v>44.09</v>
      </c>
      <c r="BA99" s="53">
        <f t="shared" si="15"/>
        <v>0</v>
      </c>
    </row>
    <row r="100" spans="1:53" ht="15" customHeight="1" x14ac:dyDescent="0.25">
      <c r="A100" s="338" t="s">
        <v>534</v>
      </c>
      <c r="B100" s="19" t="s">
        <v>521</v>
      </c>
      <c r="D100" s="1" t="s">
        <v>264</v>
      </c>
      <c r="E100" s="1" t="s">
        <v>535</v>
      </c>
      <c r="G100" s="358">
        <v>20</v>
      </c>
      <c r="H100" s="56">
        <f t="shared" si="7"/>
        <v>9337.75</v>
      </c>
      <c r="I100" s="56">
        <v>0</v>
      </c>
      <c r="J100" s="2">
        <f t="shared" si="12"/>
        <v>20</v>
      </c>
      <c r="L100" s="2" t="s">
        <v>209</v>
      </c>
      <c r="M100" s="370" t="s">
        <v>551</v>
      </c>
      <c r="AH100" s="7">
        <v>20</v>
      </c>
      <c r="AO100" s="2">
        <f t="shared" si="14"/>
        <v>20</v>
      </c>
      <c r="BA100" s="53">
        <f t="shared" si="15"/>
        <v>0</v>
      </c>
    </row>
    <row r="101" spans="1:53" ht="15" customHeight="1" x14ac:dyDescent="0.25">
      <c r="A101" s="338" t="s">
        <v>540</v>
      </c>
      <c r="B101" s="19" t="s">
        <v>541</v>
      </c>
      <c r="C101" s="48" t="s">
        <v>547</v>
      </c>
      <c r="D101" s="1" t="s">
        <v>264</v>
      </c>
      <c r="E101" s="1" t="s">
        <v>542</v>
      </c>
      <c r="G101" s="358">
        <v>4.99</v>
      </c>
      <c r="H101" s="56">
        <f t="shared" si="7"/>
        <v>9332.76</v>
      </c>
      <c r="I101" s="56">
        <v>0.83</v>
      </c>
      <c r="J101" s="2">
        <f t="shared" si="12"/>
        <v>4.16</v>
      </c>
      <c r="K101" s="393">
        <v>727255821</v>
      </c>
      <c r="L101" s="2" t="s">
        <v>209</v>
      </c>
      <c r="M101" s="370" t="s">
        <v>551</v>
      </c>
      <c r="X101" s="7">
        <v>4.16</v>
      </c>
      <c r="AO101" s="2">
        <f t="shared" si="14"/>
        <v>4.16</v>
      </c>
      <c r="BA101" s="53">
        <f t="shared" si="15"/>
        <v>0</v>
      </c>
    </row>
    <row r="102" spans="1:53" ht="15" customHeight="1" x14ac:dyDescent="0.25">
      <c r="A102" s="338" t="s">
        <v>543</v>
      </c>
      <c r="B102" s="19" t="s">
        <v>541</v>
      </c>
      <c r="D102" s="1" t="s">
        <v>202</v>
      </c>
      <c r="E102" s="1" t="s">
        <v>544</v>
      </c>
      <c r="G102" s="358">
        <v>496.4</v>
      </c>
      <c r="H102" s="56">
        <f t="shared" si="7"/>
        <v>8836.36</v>
      </c>
      <c r="I102" s="56">
        <v>0</v>
      </c>
      <c r="J102" s="2">
        <f t="shared" si="12"/>
        <v>496.4</v>
      </c>
      <c r="L102" s="2" t="s">
        <v>220</v>
      </c>
      <c r="M102" s="370" t="s">
        <v>551</v>
      </c>
      <c r="N102" s="53">
        <v>470.4</v>
      </c>
      <c r="P102" s="53">
        <v>26</v>
      </c>
      <c r="AO102" s="2">
        <f t="shared" si="14"/>
        <v>496.4</v>
      </c>
      <c r="BA102" s="53">
        <f t="shared" si="15"/>
        <v>0</v>
      </c>
    </row>
    <row r="103" spans="1:53" ht="15" customHeight="1" x14ac:dyDescent="0.25">
      <c r="A103" s="338" t="s">
        <v>545</v>
      </c>
      <c r="B103" s="19" t="s">
        <v>541</v>
      </c>
      <c r="D103" s="1" t="s">
        <v>218</v>
      </c>
      <c r="E103" s="1" t="s">
        <v>546</v>
      </c>
      <c r="G103" s="358">
        <v>15</v>
      </c>
      <c r="H103" s="56">
        <f t="shared" si="7"/>
        <v>8821.36</v>
      </c>
      <c r="I103" s="56">
        <v>0</v>
      </c>
      <c r="J103" s="2">
        <f t="shared" si="12"/>
        <v>15</v>
      </c>
      <c r="L103" s="2" t="s">
        <v>220</v>
      </c>
      <c r="M103" s="370" t="s">
        <v>551</v>
      </c>
      <c r="AC103" s="7">
        <v>15</v>
      </c>
      <c r="AO103" s="2">
        <f t="shared" si="14"/>
        <v>15</v>
      </c>
      <c r="BA103" s="53">
        <f t="shared" si="15"/>
        <v>0</v>
      </c>
    </row>
    <row r="104" spans="1:53" ht="15" customHeight="1" x14ac:dyDescent="0.25">
      <c r="A104" s="338" t="s">
        <v>548</v>
      </c>
      <c r="B104" s="19" t="s">
        <v>549</v>
      </c>
      <c r="D104" s="1" t="s">
        <v>212</v>
      </c>
      <c r="E104" s="1" t="s">
        <v>550</v>
      </c>
      <c r="F104" s="2">
        <v>220</v>
      </c>
      <c r="G104" s="358"/>
      <c r="H104" s="56">
        <f t="shared" si="7"/>
        <v>9041.36</v>
      </c>
      <c r="I104" s="56"/>
      <c r="J104" s="2">
        <f t="shared" si="12"/>
        <v>0</v>
      </c>
      <c r="L104" s="2" t="s">
        <v>194</v>
      </c>
      <c r="M104" s="370" t="s">
        <v>551</v>
      </c>
      <c r="AO104" s="2">
        <f t="shared" si="14"/>
        <v>0</v>
      </c>
      <c r="AR104" s="53">
        <v>220</v>
      </c>
      <c r="BA104" s="53">
        <f t="shared" si="15"/>
        <v>220</v>
      </c>
    </row>
    <row r="105" spans="1:53" ht="15" customHeight="1" x14ac:dyDescent="0.25">
      <c r="A105" s="338" t="s">
        <v>552</v>
      </c>
      <c r="B105" s="19" t="s">
        <v>553</v>
      </c>
      <c r="D105" s="1" t="s">
        <v>202</v>
      </c>
      <c r="E105" s="1" t="s">
        <v>554</v>
      </c>
      <c r="G105" s="358">
        <v>28.71</v>
      </c>
      <c r="H105" s="56">
        <f t="shared" si="7"/>
        <v>9012.6500000000015</v>
      </c>
      <c r="I105" s="56"/>
      <c r="J105" s="2">
        <f t="shared" si="12"/>
        <v>28.71</v>
      </c>
      <c r="L105" s="2" t="s">
        <v>194</v>
      </c>
      <c r="M105" s="370" t="s">
        <v>621</v>
      </c>
      <c r="Q105" s="7">
        <v>28.71</v>
      </c>
      <c r="AO105" s="2">
        <f t="shared" si="14"/>
        <v>28.71</v>
      </c>
      <c r="BA105" s="53">
        <f t="shared" si="15"/>
        <v>0</v>
      </c>
    </row>
    <row r="106" spans="1:53" ht="15" customHeight="1" x14ac:dyDescent="0.25">
      <c r="A106" s="338" t="s">
        <v>555</v>
      </c>
      <c r="B106" s="19" t="s">
        <v>553</v>
      </c>
      <c r="C106" s="48">
        <v>27</v>
      </c>
      <c r="D106" s="1" t="s">
        <v>556</v>
      </c>
      <c r="E106" s="1" t="s">
        <v>557</v>
      </c>
      <c r="G106" s="358">
        <v>20</v>
      </c>
      <c r="H106" s="56">
        <f t="shared" si="7"/>
        <v>8992.6500000000015</v>
      </c>
      <c r="I106" s="56"/>
      <c r="J106" s="2">
        <f t="shared" si="12"/>
        <v>20</v>
      </c>
      <c r="L106" s="2" t="s">
        <v>194</v>
      </c>
      <c r="M106" s="370" t="s">
        <v>621</v>
      </c>
      <c r="AC106" s="7">
        <v>20</v>
      </c>
      <c r="AO106" s="2">
        <f t="shared" si="14"/>
        <v>20</v>
      </c>
      <c r="BA106" s="53">
        <f t="shared" si="15"/>
        <v>0</v>
      </c>
    </row>
    <row r="107" spans="1:53" ht="15" customHeight="1" x14ac:dyDescent="0.25">
      <c r="A107" s="338" t="s">
        <v>558</v>
      </c>
      <c r="B107" s="19" t="s">
        <v>553</v>
      </c>
      <c r="C107" s="48" t="s">
        <v>576</v>
      </c>
      <c r="D107" s="1" t="s">
        <v>215</v>
      </c>
      <c r="E107" s="1" t="s">
        <v>559</v>
      </c>
      <c r="G107" s="358">
        <v>52.9</v>
      </c>
      <c r="H107" s="56">
        <f t="shared" si="7"/>
        <v>8939.7500000000018</v>
      </c>
      <c r="I107" s="56">
        <v>0.9</v>
      </c>
      <c r="J107" s="2">
        <f t="shared" si="12"/>
        <v>52</v>
      </c>
      <c r="L107" s="2" t="s">
        <v>194</v>
      </c>
      <c r="M107" s="370" t="s">
        <v>621</v>
      </c>
      <c r="AF107" s="7">
        <v>52</v>
      </c>
      <c r="AO107" s="2">
        <f t="shared" si="14"/>
        <v>52</v>
      </c>
      <c r="BA107" s="53">
        <f t="shared" si="15"/>
        <v>0</v>
      </c>
    </row>
    <row r="108" spans="1:53" ht="15" customHeight="1" x14ac:dyDescent="0.25">
      <c r="A108" s="338" t="s">
        <v>560</v>
      </c>
      <c r="B108" s="19" t="s">
        <v>553</v>
      </c>
      <c r="C108" s="48">
        <v>1000205864</v>
      </c>
      <c r="D108" s="1" t="s">
        <v>561</v>
      </c>
      <c r="E108" s="1" t="s">
        <v>562</v>
      </c>
      <c r="G108" s="358">
        <v>220</v>
      </c>
      <c r="H108" s="56">
        <f t="shared" si="7"/>
        <v>8719.7500000000018</v>
      </c>
      <c r="I108" s="56">
        <v>36.67</v>
      </c>
      <c r="J108" s="2">
        <f t="shared" si="12"/>
        <v>183.32999999999998</v>
      </c>
      <c r="L108" s="2" t="s">
        <v>194</v>
      </c>
      <c r="M108" s="370" t="s">
        <v>621</v>
      </c>
      <c r="AC108" s="7">
        <v>183.33</v>
      </c>
      <c r="AO108" s="2">
        <f t="shared" si="14"/>
        <v>183.33</v>
      </c>
      <c r="BA108" s="53">
        <f t="shared" si="15"/>
        <v>0</v>
      </c>
    </row>
    <row r="109" spans="1:53" ht="15" customHeight="1" x14ac:dyDescent="0.25">
      <c r="A109" s="338" t="s">
        <v>563</v>
      </c>
      <c r="B109" s="19" t="s">
        <v>553</v>
      </c>
      <c r="C109" s="48">
        <v>2451</v>
      </c>
      <c r="D109" s="1" t="s">
        <v>227</v>
      </c>
      <c r="E109" s="1" t="s">
        <v>228</v>
      </c>
      <c r="F109" s="2">
        <v>112</v>
      </c>
      <c r="G109" s="358"/>
      <c r="H109" s="56">
        <f t="shared" si="7"/>
        <v>8831.7500000000018</v>
      </c>
      <c r="I109" s="56"/>
      <c r="J109" s="2">
        <f t="shared" si="12"/>
        <v>0</v>
      </c>
      <c r="L109" s="2" t="s">
        <v>194</v>
      </c>
      <c r="M109" s="370" t="s">
        <v>621</v>
      </c>
      <c r="AO109" s="2">
        <f t="shared" si="14"/>
        <v>0</v>
      </c>
      <c r="AT109" s="53">
        <v>112</v>
      </c>
      <c r="BA109" s="53">
        <f t="shared" si="15"/>
        <v>112</v>
      </c>
    </row>
    <row r="110" spans="1:53" ht="15" customHeight="1" x14ac:dyDescent="0.25">
      <c r="A110" s="338" t="s">
        <v>564</v>
      </c>
      <c r="B110" s="19" t="s">
        <v>565</v>
      </c>
      <c r="C110" s="48" t="s">
        <v>577</v>
      </c>
      <c r="D110" s="1" t="s">
        <v>264</v>
      </c>
      <c r="E110" s="1" t="s">
        <v>566</v>
      </c>
      <c r="G110" s="358">
        <v>19.95</v>
      </c>
      <c r="H110" s="56">
        <f t="shared" si="7"/>
        <v>8811.8000000000011</v>
      </c>
      <c r="I110" s="56">
        <v>3.33</v>
      </c>
      <c r="J110" s="2">
        <f t="shared" si="12"/>
        <v>16.619999999999997</v>
      </c>
      <c r="K110" s="393">
        <v>264669759</v>
      </c>
      <c r="L110" s="2" t="s">
        <v>209</v>
      </c>
      <c r="M110" s="370" t="s">
        <v>621</v>
      </c>
      <c r="X110" s="7">
        <v>16.62</v>
      </c>
      <c r="AO110" s="2">
        <f t="shared" si="14"/>
        <v>16.62</v>
      </c>
      <c r="BA110" s="53">
        <f t="shared" si="15"/>
        <v>0</v>
      </c>
    </row>
    <row r="111" spans="1:53" ht="15" customHeight="1" x14ac:dyDescent="0.25">
      <c r="A111" s="338" t="s">
        <v>567</v>
      </c>
      <c r="B111" s="19" t="s">
        <v>568</v>
      </c>
      <c r="D111" s="1" t="s">
        <v>338</v>
      </c>
      <c r="E111" s="1" t="s">
        <v>569</v>
      </c>
      <c r="G111" s="358">
        <v>220</v>
      </c>
      <c r="H111" s="56">
        <f t="shared" si="7"/>
        <v>8591.8000000000011</v>
      </c>
      <c r="I111" s="56">
        <v>0</v>
      </c>
      <c r="J111" s="2">
        <f t="shared" si="12"/>
        <v>220</v>
      </c>
      <c r="L111" s="2" t="s">
        <v>340</v>
      </c>
      <c r="M111" s="370" t="s">
        <v>621</v>
      </c>
      <c r="AJ111" s="7">
        <v>220</v>
      </c>
      <c r="AO111" s="2">
        <f t="shared" si="14"/>
        <v>220</v>
      </c>
      <c r="BA111" s="53">
        <f t="shared" si="15"/>
        <v>0</v>
      </c>
    </row>
    <row r="112" spans="1:53" ht="15" customHeight="1" x14ac:dyDescent="0.25">
      <c r="A112" s="338" t="s">
        <v>572</v>
      </c>
      <c r="B112" s="19" t="s">
        <v>568</v>
      </c>
      <c r="D112" s="1" t="s">
        <v>338</v>
      </c>
      <c r="E112" s="1" t="s">
        <v>573</v>
      </c>
      <c r="F112" s="2">
        <v>206</v>
      </c>
      <c r="G112" s="358"/>
      <c r="H112" s="56">
        <f t="shared" si="7"/>
        <v>8797.8000000000011</v>
      </c>
      <c r="I112" s="56"/>
      <c r="J112" s="2">
        <f t="shared" si="12"/>
        <v>0</v>
      </c>
      <c r="L112" s="2" t="s">
        <v>340</v>
      </c>
      <c r="M112" s="370" t="s">
        <v>621</v>
      </c>
      <c r="AO112" s="2">
        <f t="shared" si="14"/>
        <v>0</v>
      </c>
      <c r="AY112" s="53">
        <v>206</v>
      </c>
      <c r="BA112" s="53">
        <f t="shared" si="15"/>
        <v>206</v>
      </c>
    </row>
    <row r="113" spans="1:53" ht="15" customHeight="1" x14ac:dyDescent="0.25">
      <c r="A113" s="338" t="s">
        <v>578</v>
      </c>
      <c r="B113" s="19" t="s">
        <v>579</v>
      </c>
      <c r="D113" s="1" t="s">
        <v>197</v>
      </c>
      <c r="E113" s="1" t="s">
        <v>580</v>
      </c>
      <c r="G113" s="358">
        <v>126.67</v>
      </c>
      <c r="H113" s="56">
        <f t="shared" si="7"/>
        <v>8671.130000000001</v>
      </c>
      <c r="I113" s="56">
        <v>0</v>
      </c>
      <c r="J113" s="2">
        <f t="shared" si="12"/>
        <v>126.67</v>
      </c>
      <c r="L113" s="2" t="s">
        <v>220</v>
      </c>
      <c r="M113" s="370" t="s">
        <v>621</v>
      </c>
      <c r="O113" s="53">
        <v>126.67</v>
      </c>
      <c r="AO113" s="2">
        <f t="shared" si="14"/>
        <v>126.67</v>
      </c>
      <c r="BA113" s="53">
        <f t="shared" si="15"/>
        <v>0</v>
      </c>
    </row>
    <row r="114" spans="1:53" ht="15" customHeight="1" x14ac:dyDescent="0.25">
      <c r="A114" s="338" t="s">
        <v>581</v>
      </c>
      <c r="B114" s="19" t="s">
        <v>579</v>
      </c>
      <c r="C114" s="48">
        <v>2441</v>
      </c>
      <c r="D114" s="1" t="s">
        <v>582</v>
      </c>
      <c r="E114" s="1" t="s">
        <v>583</v>
      </c>
      <c r="F114" s="2">
        <v>32</v>
      </c>
      <c r="G114" s="358"/>
      <c r="H114" s="56">
        <f t="shared" si="7"/>
        <v>8703.130000000001</v>
      </c>
      <c r="I114" s="56"/>
      <c r="J114" s="2">
        <f t="shared" si="12"/>
        <v>0</v>
      </c>
      <c r="L114" s="2" t="s">
        <v>304</v>
      </c>
      <c r="M114" s="370" t="s">
        <v>621</v>
      </c>
      <c r="AO114" s="2">
        <f t="shared" si="14"/>
        <v>0</v>
      </c>
      <c r="AT114" s="53">
        <v>32</v>
      </c>
      <c r="BA114" s="53">
        <f t="shared" si="15"/>
        <v>32</v>
      </c>
    </row>
    <row r="115" spans="1:53" ht="15" customHeight="1" x14ac:dyDescent="0.25">
      <c r="A115" s="338" t="s">
        <v>584</v>
      </c>
      <c r="B115" s="19" t="s">
        <v>585</v>
      </c>
      <c r="C115" s="48">
        <v>181072621</v>
      </c>
      <c r="D115" s="1" t="s">
        <v>264</v>
      </c>
      <c r="E115" s="1" t="s">
        <v>265</v>
      </c>
      <c r="G115" s="358">
        <v>26.49</v>
      </c>
      <c r="H115" s="56">
        <f t="shared" si="7"/>
        <v>8676.6400000000012</v>
      </c>
      <c r="I115" s="56">
        <v>4.42</v>
      </c>
      <c r="J115" s="2">
        <f t="shared" si="12"/>
        <v>22.07</v>
      </c>
      <c r="L115" s="2" t="s">
        <v>209</v>
      </c>
      <c r="M115" s="370" t="s">
        <v>621</v>
      </c>
      <c r="AL115" s="7">
        <v>22.07</v>
      </c>
      <c r="AO115" s="2">
        <f t="shared" si="14"/>
        <v>22.07</v>
      </c>
      <c r="BA115" s="53">
        <f t="shared" si="15"/>
        <v>0</v>
      </c>
    </row>
    <row r="116" spans="1:53" ht="15" customHeight="1" x14ac:dyDescent="0.25">
      <c r="A116" s="338" t="s">
        <v>586</v>
      </c>
      <c r="B116" s="19" t="s">
        <v>585</v>
      </c>
      <c r="C116" s="48" t="s">
        <v>592</v>
      </c>
      <c r="D116" s="1" t="s">
        <v>587</v>
      </c>
      <c r="E116" s="1" t="s">
        <v>588</v>
      </c>
      <c r="G116" s="358">
        <v>549.99</v>
      </c>
      <c r="H116" s="56">
        <f t="shared" si="7"/>
        <v>8126.6500000000015</v>
      </c>
      <c r="I116" s="56">
        <v>91.67</v>
      </c>
      <c r="J116" s="2">
        <f t="shared" si="12"/>
        <v>458.32</v>
      </c>
      <c r="L116" s="2" t="s">
        <v>209</v>
      </c>
      <c r="M116" s="370" t="s">
        <v>621</v>
      </c>
      <c r="X116" s="7">
        <v>458.32</v>
      </c>
      <c r="AO116" s="2">
        <f t="shared" si="14"/>
        <v>458.32</v>
      </c>
      <c r="BA116" s="53">
        <f t="shared" si="15"/>
        <v>0</v>
      </c>
    </row>
    <row r="117" spans="1:53" ht="15" customHeight="1" x14ac:dyDescent="0.25">
      <c r="A117" s="338" t="s">
        <v>589</v>
      </c>
      <c r="B117" s="19" t="s">
        <v>590</v>
      </c>
      <c r="D117" s="1" t="s">
        <v>295</v>
      </c>
      <c r="E117" s="1" t="s">
        <v>591</v>
      </c>
      <c r="G117" s="358">
        <v>2.6</v>
      </c>
      <c r="H117" s="56">
        <f t="shared" si="7"/>
        <v>8124.0500000000011</v>
      </c>
      <c r="I117" s="56">
        <v>0</v>
      </c>
      <c r="J117" s="2">
        <f t="shared" si="12"/>
        <v>2.6</v>
      </c>
      <c r="L117" s="2" t="s">
        <v>209</v>
      </c>
      <c r="M117" s="370" t="s">
        <v>621</v>
      </c>
      <c r="X117" s="7">
        <v>2.6</v>
      </c>
      <c r="AO117" s="2">
        <f t="shared" si="14"/>
        <v>2.6</v>
      </c>
      <c r="BA117" s="53">
        <f t="shared" si="15"/>
        <v>0</v>
      </c>
    </row>
    <row r="118" spans="1:53" ht="15" customHeight="1" x14ac:dyDescent="0.25">
      <c r="A118" s="338" t="s">
        <v>593</v>
      </c>
      <c r="B118" s="19" t="s">
        <v>590</v>
      </c>
      <c r="C118" s="48">
        <v>2449</v>
      </c>
      <c r="D118" s="1" t="s">
        <v>306</v>
      </c>
      <c r="E118" s="1" t="s">
        <v>228</v>
      </c>
      <c r="F118" s="2">
        <v>64</v>
      </c>
      <c r="G118" s="358"/>
      <c r="H118" s="56">
        <f t="shared" si="7"/>
        <v>8188.0500000000011</v>
      </c>
      <c r="I118" s="56"/>
      <c r="J118" s="2">
        <f t="shared" si="12"/>
        <v>0</v>
      </c>
      <c r="L118" s="2" t="s">
        <v>304</v>
      </c>
      <c r="M118" s="370" t="s">
        <v>621</v>
      </c>
      <c r="AO118" s="2">
        <f t="shared" si="14"/>
        <v>0</v>
      </c>
      <c r="AT118" s="53">
        <v>64</v>
      </c>
      <c r="BA118" s="53">
        <f t="shared" si="15"/>
        <v>64</v>
      </c>
    </row>
    <row r="119" spans="1:53" ht="15" customHeight="1" x14ac:dyDescent="0.25">
      <c r="A119" s="338" t="s">
        <v>598</v>
      </c>
      <c r="B119" s="19" t="s">
        <v>599</v>
      </c>
      <c r="D119" s="1" t="s">
        <v>338</v>
      </c>
      <c r="E119" s="1" t="s">
        <v>600</v>
      </c>
      <c r="F119" s="2">
        <v>680.32</v>
      </c>
      <c r="G119" s="358"/>
      <c r="H119" s="56">
        <f t="shared" si="7"/>
        <v>8868.3700000000008</v>
      </c>
      <c r="I119" s="56"/>
      <c r="J119" s="2">
        <f t="shared" si="12"/>
        <v>0</v>
      </c>
      <c r="M119" s="370" t="s">
        <v>621</v>
      </c>
      <c r="AO119" s="2">
        <f t="shared" si="14"/>
        <v>0</v>
      </c>
      <c r="AY119" s="53">
        <v>680.32</v>
      </c>
      <c r="BA119" s="53">
        <f t="shared" si="15"/>
        <v>680.32</v>
      </c>
    </row>
    <row r="120" spans="1:53" ht="15" customHeight="1" x14ac:dyDescent="0.25">
      <c r="A120" s="338" t="s">
        <v>604</v>
      </c>
      <c r="B120" s="19" t="s">
        <v>596</v>
      </c>
      <c r="C120" s="48">
        <v>2122</v>
      </c>
      <c r="D120" s="1" t="s">
        <v>440</v>
      </c>
      <c r="E120" s="1" t="s">
        <v>606</v>
      </c>
      <c r="G120" s="358">
        <v>224.4</v>
      </c>
      <c r="H120" s="56">
        <f t="shared" si="7"/>
        <v>8643.9700000000012</v>
      </c>
      <c r="I120" s="56">
        <v>2.4</v>
      </c>
      <c r="J120" s="2">
        <f t="shared" si="12"/>
        <v>222</v>
      </c>
      <c r="K120" s="393">
        <v>249372187</v>
      </c>
      <c r="L120" s="2" t="s">
        <v>194</v>
      </c>
      <c r="M120" s="370" t="s">
        <v>621</v>
      </c>
      <c r="W120" s="7">
        <v>222</v>
      </c>
      <c r="AO120" s="2">
        <f t="shared" si="14"/>
        <v>222</v>
      </c>
      <c r="BA120" s="53">
        <f t="shared" si="15"/>
        <v>0</v>
      </c>
    </row>
    <row r="121" spans="1:53" ht="15" customHeight="1" x14ac:dyDescent="0.25">
      <c r="A121" s="338" t="s">
        <v>605</v>
      </c>
      <c r="B121" s="19" t="s">
        <v>596</v>
      </c>
      <c r="C121" s="48">
        <v>2121</v>
      </c>
      <c r="D121" s="1" t="s">
        <v>440</v>
      </c>
      <c r="E121" s="1" t="s">
        <v>201</v>
      </c>
      <c r="G121" s="358">
        <v>87.92</v>
      </c>
      <c r="H121" s="56">
        <f t="shared" si="7"/>
        <v>8556.0500000000011</v>
      </c>
      <c r="I121" s="56">
        <v>0</v>
      </c>
      <c r="J121" s="2">
        <f t="shared" si="12"/>
        <v>87.92</v>
      </c>
      <c r="L121" s="2" t="s">
        <v>194</v>
      </c>
      <c r="M121" s="370" t="s">
        <v>621</v>
      </c>
      <c r="W121" s="7">
        <v>87.92</v>
      </c>
      <c r="AO121" s="2">
        <f t="shared" si="14"/>
        <v>87.92</v>
      </c>
      <c r="BA121" s="53">
        <f t="shared" si="15"/>
        <v>0</v>
      </c>
    </row>
    <row r="122" spans="1:53" ht="15" customHeight="1" x14ac:dyDescent="0.25">
      <c r="A122" s="338" t="s">
        <v>607</v>
      </c>
      <c r="B122" s="19" t="s">
        <v>608</v>
      </c>
      <c r="D122" s="1" t="s">
        <v>202</v>
      </c>
      <c r="E122" s="1" t="s">
        <v>609</v>
      </c>
      <c r="G122" s="358">
        <v>91.88</v>
      </c>
      <c r="H122" s="56">
        <f t="shared" si="7"/>
        <v>8464.1700000000019</v>
      </c>
      <c r="I122" s="56"/>
      <c r="J122" s="2">
        <f t="shared" si="12"/>
        <v>91.88</v>
      </c>
      <c r="L122" s="2" t="s">
        <v>194</v>
      </c>
      <c r="M122" s="370" t="s">
        <v>621</v>
      </c>
      <c r="N122" s="53">
        <v>91.88</v>
      </c>
      <c r="AO122" s="2">
        <f t="shared" si="14"/>
        <v>91.88</v>
      </c>
      <c r="BA122" s="53">
        <f t="shared" si="15"/>
        <v>0</v>
      </c>
    </row>
    <row r="123" spans="1:53" ht="15" customHeight="1" x14ac:dyDescent="0.25">
      <c r="A123" s="338" t="s">
        <v>610</v>
      </c>
      <c r="B123" s="19" t="s">
        <v>608</v>
      </c>
      <c r="D123" s="1" t="s">
        <v>202</v>
      </c>
      <c r="E123" s="1" t="s">
        <v>611</v>
      </c>
      <c r="G123" s="358">
        <v>496.4</v>
      </c>
      <c r="H123" s="56">
        <f t="shared" si="7"/>
        <v>7967.7700000000023</v>
      </c>
      <c r="I123" s="56"/>
      <c r="J123" s="2">
        <f t="shared" si="12"/>
        <v>496.4</v>
      </c>
      <c r="L123" s="2" t="s">
        <v>220</v>
      </c>
      <c r="M123" s="370" t="s">
        <v>621</v>
      </c>
      <c r="N123" s="53">
        <v>470.4</v>
      </c>
      <c r="P123" s="53">
        <v>26</v>
      </c>
      <c r="AO123" s="2">
        <f t="shared" si="14"/>
        <v>496.4</v>
      </c>
      <c r="BA123" s="53">
        <f t="shared" si="15"/>
        <v>0</v>
      </c>
    </row>
    <row r="124" spans="1:53" ht="15" customHeight="1" x14ac:dyDescent="0.25">
      <c r="A124" s="338" t="s">
        <v>612</v>
      </c>
      <c r="B124" s="19" t="s">
        <v>608</v>
      </c>
      <c r="D124" s="1" t="s">
        <v>218</v>
      </c>
      <c r="E124" s="1" t="s">
        <v>613</v>
      </c>
      <c r="G124" s="358">
        <v>15</v>
      </c>
      <c r="H124" s="56">
        <f t="shared" si="7"/>
        <v>7952.7700000000023</v>
      </c>
      <c r="I124" s="56"/>
      <c r="J124" s="2">
        <f t="shared" si="12"/>
        <v>15</v>
      </c>
      <c r="L124" s="2" t="s">
        <v>220</v>
      </c>
      <c r="M124" s="370" t="s">
        <v>621</v>
      </c>
      <c r="AC124" s="7">
        <v>15</v>
      </c>
      <c r="AO124" s="2">
        <f t="shared" si="14"/>
        <v>15</v>
      </c>
      <c r="BA124" s="53">
        <f t="shared" si="15"/>
        <v>0</v>
      </c>
    </row>
    <row r="125" spans="1:53" ht="15" customHeight="1" x14ac:dyDescent="0.25">
      <c r="A125" s="338" t="s">
        <v>614</v>
      </c>
      <c r="B125" s="19" t="s">
        <v>608</v>
      </c>
      <c r="C125" s="48">
        <v>2450</v>
      </c>
      <c r="D125" s="1" t="s">
        <v>343</v>
      </c>
      <c r="E125" s="1" t="s">
        <v>228</v>
      </c>
      <c r="F125" s="2">
        <v>48</v>
      </c>
      <c r="G125" s="358"/>
      <c r="H125" s="56">
        <f t="shared" si="7"/>
        <v>8000.7700000000023</v>
      </c>
      <c r="I125" s="56"/>
      <c r="J125" s="2">
        <f t="shared" si="12"/>
        <v>0</v>
      </c>
      <c r="L125" s="2" t="s">
        <v>304</v>
      </c>
      <c r="M125" s="370" t="s">
        <v>621</v>
      </c>
      <c r="AO125" s="2">
        <f t="shared" si="14"/>
        <v>0</v>
      </c>
      <c r="AT125" s="53">
        <v>48</v>
      </c>
      <c r="BA125" s="53">
        <f t="shared" si="15"/>
        <v>48</v>
      </c>
    </row>
    <row r="126" spans="1:53" ht="15" customHeight="1" x14ac:dyDescent="0.25">
      <c r="A126" s="338" t="s">
        <v>615</v>
      </c>
      <c r="B126" s="19" t="s">
        <v>619</v>
      </c>
      <c r="C126" s="48">
        <v>2439</v>
      </c>
      <c r="D126" s="1" t="s">
        <v>411</v>
      </c>
      <c r="E126" s="1" t="s">
        <v>228</v>
      </c>
      <c r="F126" s="2">
        <v>16</v>
      </c>
      <c r="G126" s="358"/>
      <c r="H126" s="56">
        <f t="shared" si="7"/>
        <v>8016.7700000000023</v>
      </c>
      <c r="I126" s="56"/>
      <c r="J126" s="2">
        <f t="shared" si="12"/>
        <v>0</v>
      </c>
      <c r="L126" s="2" t="s">
        <v>194</v>
      </c>
      <c r="M126" s="370" t="s">
        <v>621</v>
      </c>
      <c r="AO126" s="2">
        <f t="shared" si="14"/>
        <v>0</v>
      </c>
      <c r="AT126" s="53">
        <v>16</v>
      </c>
      <c r="BA126" s="53">
        <f t="shared" si="15"/>
        <v>16</v>
      </c>
    </row>
    <row r="127" spans="1:53" ht="15" customHeight="1" x14ac:dyDescent="0.25">
      <c r="A127" s="338" t="s">
        <v>618</v>
      </c>
      <c r="B127" s="19" t="s">
        <v>620</v>
      </c>
      <c r="C127" s="48">
        <v>2456</v>
      </c>
      <c r="D127" s="1" t="s">
        <v>227</v>
      </c>
      <c r="E127" s="1" t="s">
        <v>228</v>
      </c>
      <c r="F127" s="2">
        <v>112</v>
      </c>
      <c r="G127" s="358"/>
      <c r="H127" s="56">
        <f t="shared" si="7"/>
        <v>8128.7700000000023</v>
      </c>
      <c r="I127" s="56"/>
      <c r="J127" s="2">
        <f t="shared" si="12"/>
        <v>0</v>
      </c>
      <c r="L127" s="2" t="s">
        <v>194</v>
      </c>
      <c r="M127" s="172" t="s">
        <v>683</v>
      </c>
      <c r="AO127" s="2">
        <f t="shared" si="14"/>
        <v>0</v>
      </c>
      <c r="AT127" s="53">
        <v>112</v>
      </c>
      <c r="BA127" s="53">
        <f t="shared" si="15"/>
        <v>112</v>
      </c>
    </row>
    <row r="128" spans="1:53" ht="15" customHeight="1" x14ac:dyDescent="0.25">
      <c r="A128" s="338" t="s">
        <v>640</v>
      </c>
      <c r="B128" s="19" t="s">
        <v>641</v>
      </c>
      <c r="D128" s="1" t="s">
        <v>202</v>
      </c>
      <c r="E128" s="1" t="s">
        <v>622</v>
      </c>
      <c r="G128" s="358">
        <v>28.71</v>
      </c>
      <c r="H128" s="56">
        <f t="shared" si="7"/>
        <v>8100.0600000000022</v>
      </c>
      <c r="I128" s="56"/>
      <c r="J128" s="2">
        <f t="shared" si="12"/>
        <v>28.71</v>
      </c>
      <c r="L128" s="2" t="s">
        <v>194</v>
      </c>
      <c r="M128" s="172" t="s">
        <v>683</v>
      </c>
      <c r="Q128" s="7">
        <v>28.71</v>
      </c>
      <c r="AO128" s="2">
        <f t="shared" si="14"/>
        <v>28.71</v>
      </c>
      <c r="BA128" s="53">
        <f t="shared" si="15"/>
        <v>0</v>
      </c>
    </row>
    <row r="129" spans="1:53" ht="15" customHeight="1" x14ac:dyDescent="0.25">
      <c r="A129" s="338" t="s">
        <v>642</v>
      </c>
      <c r="B129" s="19" t="s">
        <v>641</v>
      </c>
      <c r="D129" s="1" t="s">
        <v>202</v>
      </c>
      <c r="E129" s="1" t="s">
        <v>623</v>
      </c>
      <c r="G129" s="358">
        <v>148.21</v>
      </c>
      <c r="H129" s="56">
        <f t="shared" si="7"/>
        <v>7951.8500000000022</v>
      </c>
      <c r="I129" s="56"/>
      <c r="J129" s="2">
        <f t="shared" si="12"/>
        <v>148.21</v>
      </c>
      <c r="L129" s="2" t="s">
        <v>194</v>
      </c>
      <c r="M129" s="172" t="s">
        <v>683</v>
      </c>
      <c r="N129" s="53">
        <v>148.21</v>
      </c>
      <c r="AO129" s="2">
        <f t="shared" si="14"/>
        <v>148.21</v>
      </c>
      <c r="BA129" s="53">
        <f t="shared" si="15"/>
        <v>0</v>
      </c>
    </row>
    <row r="130" spans="1:53" ht="15" customHeight="1" x14ac:dyDescent="0.25">
      <c r="A130" s="338" t="s">
        <v>643</v>
      </c>
      <c r="B130" s="19" t="s">
        <v>641</v>
      </c>
      <c r="D130" s="1" t="s">
        <v>218</v>
      </c>
      <c r="E130" s="1" t="s">
        <v>624</v>
      </c>
      <c r="G130" s="358">
        <v>134.99</v>
      </c>
      <c r="H130" s="56">
        <f t="shared" si="7"/>
        <v>7816.8600000000024</v>
      </c>
      <c r="I130" s="56">
        <v>2.33</v>
      </c>
      <c r="J130" s="2">
        <f t="shared" si="12"/>
        <v>132.66</v>
      </c>
      <c r="K130" s="393">
        <v>651141081</v>
      </c>
      <c r="L130" s="2" t="s">
        <v>194</v>
      </c>
      <c r="M130" s="172" t="s">
        <v>683</v>
      </c>
      <c r="AC130" s="7">
        <v>38.659999999999997</v>
      </c>
      <c r="AM130" s="7">
        <v>94</v>
      </c>
      <c r="AO130" s="2">
        <f t="shared" si="14"/>
        <v>132.66</v>
      </c>
      <c r="BA130" s="53">
        <f t="shared" si="15"/>
        <v>0</v>
      </c>
    </row>
    <row r="131" spans="1:53" ht="15" customHeight="1" x14ac:dyDescent="0.25">
      <c r="A131" s="338" t="s">
        <v>644</v>
      </c>
      <c r="B131" s="19" t="s">
        <v>641</v>
      </c>
      <c r="D131" s="1" t="s">
        <v>197</v>
      </c>
      <c r="E131" s="1" t="s">
        <v>623</v>
      </c>
      <c r="G131" s="358">
        <v>12.99</v>
      </c>
      <c r="H131" s="56">
        <f t="shared" si="7"/>
        <v>7803.8700000000026</v>
      </c>
      <c r="I131" s="56"/>
      <c r="J131" s="2">
        <f t="shared" si="12"/>
        <v>12.99</v>
      </c>
      <c r="L131" s="2" t="s">
        <v>194</v>
      </c>
      <c r="M131" s="172" t="s">
        <v>683</v>
      </c>
      <c r="O131" s="53">
        <v>12.99</v>
      </c>
      <c r="AO131" s="2">
        <f t="shared" si="14"/>
        <v>12.99</v>
      </c>
      <c r="BA131" s="53">
        <f t="shared" si="15"/>
        <v>0</v>
      </c>
    </row>
    <row r="132" spans="1:53" ht="15" customHeight="1" x14ac:dyDescent="0.25">
      <c r="A132" s="338" t="s">
        <v>645</v>
      </c>
      <c r="B132" s="19" t="s">
        <v>641</v>
      </c>
      <c r="C132" s="48">
        <v>2406</v>
      </c>
      <c r="D132" s="1" t="s">
        <v>233</v>
      </c>
      <c r="E132" s="1" t="s">
        <v>322</v>
      </c>
      <c r="G132" s="358">
        <v>95</v>
      </c>
      <c r="H132" s="56">
        <f t="shared" si="7"/>
        <v>7708.8700000000026</v>
      </c>
      <c r="I132" s="56"/>
      <c r="J132" s="2">
        <f t="shared" si="12"/>
        <v>95</v>
      </c>
      <c r="L132" s="2" t="s">
        <v>194</v>
      </c>
      <c r="M132" s="172" t="s">
        <v>683</v>
      </c>
      <c r="AF132" s="7">
        <v>95</v>
      </c>
      <c r="AO132" s="2">
        <f t="shared" si="14"/>
        <v>95</v>
      </c>
      <c r="BA132" s="53">
        <f t="shared" si="15"/>
        <v>0</v>
      </c>
    </row>
    <row r="133" spans="1:53" ht="15" customHeight="1" x14ac:dyDescent="0.25">
      <c r="A133" s="338" t="s">
        <v>646</v>
      </c>
      <c r="B133" s="19" t="s">
        <v>641</v>
      </c>
      <c r="C133" s="48">
        <v>2405</v>
      </c>
      <c r="D133" s="1" t="s">
        <v>300</v>
      </c>
      <c r="E133" s="1" t="s">
        <v>625</v>
      </c>
      <c r="G133" s="358">
        <v>18.670000000000002</v>
      </c>
      <c r="H133" s="56">
        <f t="shared" si="7"/>
        <v>7690.2000000000025</v>
      </c>
      <c r="I133" s="56"/>
      <c r="J133" s="2">
        <f t="shared" si="12"/>
        <v>18.670000000000002</v>
      </c>
      <c r="L133" s="2" t="s">
        <v>194</v>
      </c>
      <c r="M133" s="172" t="s">
        <v>683</v>
      </c>
      <c r="AF133" s="7">
        <v>18.670000000000002</v>
      </c>
      <c r="AO133" s="2">
        <f t="shared" si="14"/>
        <v>18.670000000000002</v>
      </c>
      <c r="BA133" s="53">
        <f t="shared" si="15"/>
        <v>0</v>
      </c>
    </row>
    <row r="134" spans="1:53" ht="15" customHeight="1" x14ac:dyDescent="0.25">
      <c r="A134" s="338" t="s">
        <v>647</v>
      </c>
      <c r="B134" s="19" t="s">
        <v>641</v>
      </c>
      <c r="C134" s="48">
        <v>52299</v>
      </c>
      <c r="D134" s="1" t="s">
        <v>626</v>
      </c>
      <c r="E134" s="1" t="s">
        <v>331</v>
      </c>
      <c r="G134" s="358">
        <v>46</v>
      </c>
      <c r="H134" s="56">
        <f t="shared" si="7"/>
        <v>7644.2000000000025</v>
      </c>
      <c r="I134" s="56"/>
      <c r="J134" s="2">
        <f t="shared" si="12"/>
        <v>46</v>
      </c>
      <c r="L134" s="2" t="s">
        <v>194</v>
      </c>
      <c r="M134" s="172" t="s">
        <v>683</v>
      </c>
      <c r="Z134" s="7">
        <v>46</v>
      </c>
      <c r="AO134" s="2">
        <f t="shared" si="14"/>
        <v>46</v>
      </c>
      <c r="BA134" s="53">
        <f t="shared" si="15"/>
        <v>0</v>
      </c>
    </row>
    <row r="135" spans="1:53" ht="15" customHeight="1" x14ac:dyDescent="0.25">
      <c r="A135" s="338" t="s">
        <v>648</v>
      </c>
      <c r="B135" s="19" t="s">
        <v>641</v>
      </c>
      <c r="C135" s="48" t="s">
        <v>649</v>
      </c>
      <c r="D135" s="1" t="s">
        <v>627</v>
      </c>
      <c r="E135" s="1" t="s">
        <v>628</v>
      </c>
      <c r="G135" s="358">
        <v>201.64</v>
      </c>
      <c r="H135" s="56">
        <f t="shared" si="7"/>
        <v>7442.5600000000022</v>
      </c>
      <c r="I135" s="56">
        <v>33.61</v>
      </c>
      <c r="J135" s="2">
        <f t="shared" si="12"/>
        <v>168.02999999999997</v>
      </c>
      <c r="K135" s="393">
        <v>935453904</v>
      </c>
      <c r="L135" s="2" t="s">
        <v>194</v>
      </c>
      <c r="M135" s="172" t="s">
        <v>683</v>
      </c>
      <c r="AM135" s="7">
        <v>168.03</v>
      </c>
      <c r="AO135" s="2">
        <f t="shared" si="14"/>
        <v>168.03</v>
      </c>
      <c r="BA135" s="53">
        <f t="shared" si="15"/>
        <v>0</v>
      </c>
    </row>
    <row r="136" spans="1:53" ht="15" customHeight="1" x14ac:dyDescent="0.25">
      <c r="A136" s="338" t="s">
        <v>650</v>
      </c>
      <c r="B136" s="19" t="s">
        <v>641</v>
      </c>
      <c r="C136" s="48" t="s">
        <v>651</v>
      </c>
      <c r="D136" s="1" t="s">
        <v>629</v>
      </c>
      <c r="E136" s="1" t="s">
        <v>72</v>
      </c>
      <c r="G136" s="358">
        <v>252</v>
      </c>
      <c r="H136" s="56">
        <f t="shared" si="7"/>
        <v>7190.5600000000022</v>
      </c>
      <c r="I136" s="56">
        <v>42</v>
      </c>
      <c r="J136" s="2">
        <f t="shared" si="12"/>
        <v>210</v>
      </c>
      <c r="K136" s="393">
        <v>440498250</v>
      </c>
      <c r="L136" s="2" t="s">
        <v>194</v>
      </c>
      <c r="M136" s="172" t="s">
        <v>683</v>
      </c>
      <c r="AB136" s="7">
        <v>210</v>
      </c>
      <c r="AO136" s="2">
        <f t="shared" si="14"/>
        <v>210</v>
      </c>
      <c r="BA136" s="53">
        <f t="shared" si="15"/>
        <v>0</v>
      </c>
    </row>
    <row r="137" spans="1:53" ht="15" customHeight="1" x14ac:dyDescent="0.25">
      <c r="A137" s="338" t="s">
        <v>652</v>
      </c>
      <c r="B137" s="19" t="s">
        <v>641</v>
      </c>
      <c r="C137" s="48">
        <v>48532</v>
      </c>
      <c r="D137" s="1" t="s">
        <v>519</v>
      </c>
      <c r="E137" s="1" t="s">
        <v>630</v>
      </c>
      <c r="G137" s="358">
        <v>8.76</v>
      </c>
      <c r="H137" s="56">
        <f t="shared" si="7"/>
        <v>7181.800000000002</v>
      </c>
      <c r="I137" s="56">
        <v>1.46</v>
      </c>
      <c r="J137" s="2">
        <f t="shared" si="12"/>
        <v>7.3</v>
      </c>
      <c r="K137" s="393">
        <v>288730755</v>
      </c>
      <c r="L137" s="2" t="s">
        <v>194</v>
      </c>
      <c r="M137" s="172" t="s">
        <v>683</v>
      </c>
      <c r="AC137" s="7">
        <v>7.3</v>
      </c>
      <c r="AO137" s="2">
        <f t="shared" si="14"/>
        <v>7.3</v>
      </c>
      <c r="BA137" s="53">
        <f t="shared" si="15"/>
        <v>0</v>
      </c>
    </row>
    <row r="138" spans="1:53" ht="15" customHeight="1" x14ac:dyDescent="0.25">
      <c r="A138" s="338" t="s">
        <v>653</v>
      </c>
      <c r="B138" s="19" t="s">
        <v>641</v>
      </c>
      <c r="C138" s="48">
        <v>9576</v>
      </c>
      <c r="D138" s="1" t="s">
        <v>631</v>
      </c>
      <c r="E138" s="1" t="s">
        <v>632</v>
      </c>
      <c r="G138" s="358">
        <v>72</v>
      </c>
      <c r="H138" s="56">
        <f t="shared" si="7"/>
        <v>7109.800000000002</v>
      </c>
      <c r="I138" s="56">
        <v>12</v>
      </c>
      <c r="J138" s="2">
        <f t="shared" si="12"/>
        <v>60</v>
      </c>
      <c r="K138" s="393">
        <v>144660907</v>
      </c>
      <c r="L138" s="2" t="s">
        <v>194</v>
      </c>
      <c r="M138" s="172" t="s">
        <v>683</v>
      </c>
      <c r="AC138" s="7">
        <v>60</v>
      </c>
      <c r="AO138" s="2">
        <f t="shared" si="14"/>
        <v>60</v>
      </c>
      <c r="BA138" s="53">
        <f t="shared" si="15"/>
        <v>0</v>
      </c>
    </row>
    <row r="139" spans="1:53" ht="15" customHeight="1" x14ac:dyDescent="0.25">
      <c r="A139" s="338" t="s">
        <v>654</v>
      </c>
      <c r="B139" s="19" t="s">
        <v>641</v>
      </c>
      <c r="C139" s="48">
        <v>16270</v>
      </c>
      <c r="D139" s="1" t="s">
        <v>633</v>
      </c>
      <c r="E139" s="1" t="s">
        <v>634</v>
      </c>
      <c r="G139" s="358">
        <v>102</v>
      </c>
      <c r="H139" s="56">
        <f t="shared" si="7"/>
        <v>7007.800000000002</v>
      </c>
      <c r="I139" s="56">
        <v>17</v>
      </c>
      <c r="J139" s="2">
        <f t="shared" si="12"/>
        <v>85</v>
      </c>
      <c r="K139" s="393">
        <v>775395874</v>
      </c>
      <c r="L139" s="2" t="s">
        <v>194</v>
      </c>
      <c r="M139" s="172" t="s">
        <v>683</v>
      </c>
      <c r="AC139" s="7">
        <v>85</v>
      </c>
      <c r="AO139" s="2">
        <f t="shared" si="14"/>
        <v>85</v>
      </c>
      <c r="BA139" s="53">
        <f t="shared" si="15"/>
        <v>0</v>
      </c>
    </row>
    <row r="140" spans="1:53" ht="15" customHeight="1" x14ac:dyDescent="0.25">
      <c r="A140" s="338" t="s">
        <v>655</v>
      </c>
      <c r="B140" s="19" t="s">
        <v>641</v>
      </c>
      <c r="C140" s="48">
        <v>21092</v>
      </c>
      <c r="D140" s="1" t="s">
        <v>200</v>
      </c>
      <c r="E140" s="1" t="s">
        <v>635</v>
      </c>
      <c r="G140" s="358">
        <v>60</v>
      </c>
      <c r="H140" s="56">
        <f t="shared" si="7"/>
        <v>6947.800000000002</v>
      </c>
      <c r="I140" s="56"/>
      <c r="J140" s="2">
        <f t="shared" si="12"/>
        <v>60</v>
      </c>
      <c r="L140" s="2" t="s">
        <v>194</v>
      </c>
      <c r="M140" s="172" t="s">
        <v>683</v>
      </c>
      <c r="AF140" s="7">
        <v>60</v>
      </c>
      <c r="AO140" s="2">
        <f t="shared" si="14"/>
        <v>60</v>
      </c>
      <c r="BA140" s="53">
        <f t="shared" si="15"/>
        <v>0</v>
      </c>
    </row>
    <row r="141" spans="1:53" ht="15" customHeight="1" x14ac:dyDescent="0.25">
      <c r="A141" s="338" t="s">
        <v>656</v>
      </c>
      <c r="B141" s="19" t="s">
        <v>637</v>
      </c>
      <c r="D141" s="1" t="s">
        <v>197</v>
      </c>
      <c r="E141" s="1" t="s">
        <v>636</v>
      </c>
      <c r="G141" s="358">
        <v>126.67</v>
      </c>
      <c r="H141" s="56">
        <f t="shared" si="7"/>
        <v>6821.1300000000019</v>
      </c>
      <c r="I141" s="56"/>
      <c r="J141" s="2">
        <f t="shared" si="12"/>
        <v>126.67</v>
      </c>
      <c r="L141" s="2" t="s">
        <v>220</v>
      </c>
      <c r="M141" s="172" t="s">
        <v>683</v>
      </c>
      <c r="O141" s="53">
        <v>126.67</v>
      </c>
      <c r="AO141" s="2">
        <f t="shared" si="14"/>
        <v>126.67</v>
      </c>
      <c r="BA141" s="53">
        <f t="shared" si="15"/>
        <v>0</v>
      </c>
    </row>
    <row r="142" spans="1:53" ht="15" customHeight="1" x14ac:dyDescent="0.25">
      <c r="A142" s="338" t="s">
        <v>657</v>
      </c>
      <c r="B142" s="19" t="s">
        <v>638</v>
      </c>
      <c r="D142" s="1" t="s">
        <v>295</v>
      </c>
      <c r="E142" s="1" t="s">
        <v>296</v>
      </c>
      <c r="G142" s="358">
        <v>13.2</v>
      </c>
      <c r="H142" s="56">
        <f t="shared" si="7"/>
        <v>6807.9300000000021</v>
      </c>
      <c r="I142" s="56"/>
      <c r="J142" s="2">
        <f t="shared" si="12"/>
        <v>13.2</v>
      </c>
      <c r="L142" s="2" t="s">
        <v>209</v>
      </c>
      <c r="M142" s="172" t="s">
        <v>683</v>
      </c>
      <c r="X142" s="7">
        <v>13.2</v>
      </c>
      <c r="AO142" s="2">
        <f t="shared" si="14"/>
        <v>13.2</v>
      </c>
      <c r="BA142" s="53">
        <f t="shared" si="15"/>
        <v>0</v>
      </c>
    </row>
    <row r="143" spans="1:53" ht="15" customHeight="1" x14ac:dyDescent="0.25">
      <c r="A143" s="338" t="s">
        <v>660</v>
      </c>
      <c r="B143" s="19" t="s">
        <v>638</v>
      </c>
      <c r="C143" s="48">
        <v>2453</v>
      </c>
      <c r="D143" s="1" t="s">
        <v>306</v>
      </c>
      <c r="E143" s="1" t="s">
        <v>228</v>
      </c>
      <c r="F143" s="2">
        <v>32</v>
      </c>
      <c r="G143" s="358"/>
      <c r="H143" s="56">
        <f t="shared" si="7"/>
        <v>6839.9300000000021</v>
      </c>
      <c r="I143" s="56"/>
      <c r="J143" s="2">
        <f t="shared" si="12"/>
        <v>0</v>
      </c>
      <c r="L143" s="2" t="s">
        <v>304</v>
      </c>
      <c r="M143" s="172" t="s">
        <v>683</v>
      </c>
      <c r="AO143" s="2">
        <f t="shared" si="14"/>
        <v>0</v>
      </c>
      <c r="AT143" s="53">
        <v>32</v>
      </c>
      <c r="BA143" s="53">
        <f t="shared" si="15"/>
        <v>32</v>
      </c>
    </row>
    <row r="144" spans="1:53" ht="15" customHeight="1" x14ac:dyDescent="0.25">
      <c r="A144" s="338" t="s">
        <v>658</v>
      </c>
      <c r="B144" s="19" t="s">
        <v>639</v>
      </c>
      <c r="C144" s="48" t="s">
        <v>659</v>
      </c>
      <c r="D144" s="1" t="s">
        <v>222</v>
      </c>
      <c r="E144" s="1" t="s">
        <v>185</v>
      </c>
      <c r="G144" s="358">
        <v>619.07000000000005</v>
      </c>
      <c r="H144" s="56">
        <f t="shared" si="7"/>
        <v>6220.8600000000024</v>
      </c>
      <c r="I144" s="56">
        <v>120.01</v>
      </c>
      <c r="J144" s="2">
        <f t="shared" si="12"/>
        <v>499.06000000000006</v>
      </c>
      <c r="K144" s="393">
        <v>523041202</v>
      </c>
      <c r="L144" s="2" t="s">
        <v>226</v>
      </c>
      <c r="M144" s="172" t="s">
        <v>683</v>
      </c>
      <c r="AK144" s="7">
        <v>499.06</v>
      </c>
      <c r="AO144" s="2">
        <f t="shared" si="14"/>
        <v>499.06</v>
      </c>
      <c r="BA144" s="53">
        <f t="shared" si="15"/>
        <v>0</v>
      </c>
    </row>
    <row r="145" spans="1:53" ht="15" customHeight="1" x14ac:dyDescent="0.25">
      <c r="A145" s="338" t="s">
        <v>662</v>
      </c>
      <c r="B145" s="19" t="s">
        <v>663</v>
      </c>
      <c r="C145" s="48">
        <v>213951389</v>
      </c>
      <c r="D145" s="1" t="s">
        <v>264</v>
      </c>
      <c r="E145" s="1" t="s">
        <v>664</v>
      </c>
      <c r="G145" s="358">
        <v>10.49</v>
      </c>
      <c r="H145" s="56">
        <f t="shared" si="7"/>
        <v>6210.3700000000026</v>
      </c>
      <c r="I145" s="56">
        <v>1.75</v>
      </c>
      <c r="J145" s="2">
        <f t="shared" si="12"/>
        <v>8.74</v>
      </c>
      <c r="K145" s="393">
        <v>727255821</v>
      </c>
      <c r="L145" s="2" t="s">
        <v>209</v>
      </c>
      <c r="M145" s="172" t="s">
        <v>683</v>
      </c>
      <c r="AM145" s="7">
        <v>8.74</v>
      </c>
      <c r="AO145" s="2">
        <f t="shared" si="14"/>
        <v>8.74</v>
      </c>
      <c r="BA145" s="53">
        <f t="shared" si="15"/>
        <v>0</v>
      </c>
    </row>
    <row r="146" spans="1:53" ht="15" customHeight="1" x14ac:dyDescent="0.25">
      <c r="A146" s="338" t="s">
        <v>665</v>
      </c>
      <c r="B146" s="19" t="s">
        <v>663</v>
      </c>
      <c r="C146" s="48">
        <v>2454</v>
      </c>
      <c r="D146" s="1" t="s">
        <v>343</v>
      </c>
      <c r="E146" s="1" t="s">
        <v>228</v>
      </c>
      <c r="F146" s="2">
        <v>60</v>
      </c>
      <c r="G146" s="358"/>
      <c r="H146" s="56">
        <f t="shared" si="7"/>
        <v>6270.3700000000026</v>
      </c>
      <c r="I146" s="56"/>
      <c r="J146" s="2">
        <f t="shared" si="12"/>
        <v>0</v>
      </c>
      <c r="L146" s="2" t="s">
        <v>304</v>
      </c>
      <c r="M146" s="172" t="s">
        <v>683</v>
      </c>
      <c r="AO146" s="2">
        <f t="shared" si="14"/>
        <v>0</v>
      </c>
      <c r="AT146" s="53">
        <v>60</v>
      </c>
      <c r="BA146" s="53">
        <f t="shared" si="15"/>
        <v>60</v>
      </c>
    </row>
    <row r="147" spans="1:53" ht="15" customHeight="1" x14ac:dyDescent="0.25">
      <c r="A147" s="338" t="s">
        <v>668</v>
      </c>
      <c r="B147" s="19" t="s">
        <v>669</v>
      </c>
      <c r="D147" s="1" t="s">
        <v>202</v>
      </c>
      <c r="E147" s="1" t="s">
        <v>670</v>
      </c>
      <c r="G147" s="358">
        <v>76.650000000000006</v>
      </c>
      <c r="H147" s="56">
        <f t="shared" si="7"/>
        <v>6193.720000000003</v>
      </c>
      <c r="I147" s="56"/>
      <c r="J147" s="2">
        <f t="shared" si="12"/>
        <v>76.650000000000006</v>
      </c>
      <c r="L147" s="2" t="s">
        <v>194</v>
      </c>
      <c r="M147" s="172" t="s">
        <v>683</v>
      </c>
      <c r="N147" s="53">
        <v>76.650000000000006</v>
      </c>
      <c r="AO147" s="2">
        <f t="shared" si="14"/>
        <v>76.650000000000006</v>
      </c>
      <c r="BA147" s="53">
        <f t="shared" si="15"/>
        <v>0</v>
      </c>
    </row>
    <row r="148" spans="1:53" ht="15" customHeight="1" x14ac:dyDescent="0.25">
      <c r="A148" s="338" t="s">
        <v>671</v>
      </c>
      <c r="B148" s="19" t="s">
        <v>669</v>
      </c>
      <c r="D148" s="1" t="s">
        <v>202</v>
      </c>
      <c r="E148" s="1" t="s">
        <v>672</v>
      </c>
      <c r="G148" s="358">
        <v>516.55999999999995</v>
      </c>
      <c r="H148" s="56">
        <f t="shared" si="7"/>
        <v>5677.1600000000035</v>
      </c>
      <c r="I148" s="56"/>
      <c r="J148" s="2">
        <f t="shared" si="12"/>
        <v>516.55999999999995</v>
      </c>
      <c r="L148" s="2" t="s">
        <v>220</v>
      </c>
      <c r="M148" s="172" t="s">
        <v>683</v>
      </c>
      <c r="N148" s="53">
        <v>490.56</v>
      </c>
      <c r="P148" s="53">
        <v>26</v>
      </c>
      <c r="AO148" s="2">
        <f t="shared" si="14"/>
        <v>516.55999999999995</v>
      </c>
      <c r="BA148" s="53">
        <f t="shared" si="15"/>
        <v>0</v>
      </c>
    </row>
    <row r="149" spans="1:53" ht="15" customHeight="1" x14ac:dyDescent="0.25">
      <c r="A149" s="338" t="s">
        <v>673</v>
      </c>
      <c r="B149" s="19" t="s">
        <v>669</v>
      </c>
      <c r="D149" s="1" t="s">
        <v>218</v>
      </c>
      <c r="E149" s="1" t="s">
        <v>634</v>
      </c>
      <c r="G149" s="358">
        <v>15</v>
      </c>
      <c r="H149" s="56">
        <f t="shared" si="7"/>
        <v>5662.1600000000035</v>
      </c>
      <c r="I149" s="56"/>
      <c r="J149" s="2">
        <f t="shared" si="12"/>
        <v>15</v>
      </c>
      <c r="L149" s="2" t="s">
        <v>220</v>
      </c>
      <c r="M149" s="172" t="s">
        <v>683</v>
      </c>
      <c r="AC149" s="7">
        <v>15</v>
      </c>
      <c r="AO149" s="2">
        <f t="shared" si="14"/>
        <v>15</v>
      </c>
      <c r="BA149" s="53">
        <f t="shared" si="15"/>
        <v>0</v>
      </c>
    </row>
    <row r="150" spans="1:53" ht="15" customHeight="1" x14ac:dyDescent="0.25">
      <c r="A150" s="338" t="s">
        <v>674</v>
      </c>
      <c r="B150" s="19" t="s">
        <v>675</v>
      </c>
      <c r="C150" s="48">
        <v>2452</v>
      </c>
      <c r="D150" s="1" t="s">
        <v>676</v>
      </c>
      <c r="E150" s="1" t="s">
        <v>677</v>
      </c>
      <c r="F150" s="2">
        <v>1745.36</v>
      </c>
      <c r="G150" s="358"/>
      <c r="H150" s="56">
        <f t="shared" si="7"/>
        <v>7407.5200000000032</v>
      </c>
      <c r="I150" s="56"/>
      <c r="J150" s="2">
        <f t="shared" si="12"/>
        <v>0</v>
      </c>
      <c r="L150" s="2" t="s">
        <v>194</v>
      </c>
      <c r="M150" s="172" t="s">
        <v>683</v>
      </c>
      <c r="AO150" s="2">
        <f t="shared" si="14"/>
        <v>0</v>
      </c>
      <c r="AU150" s="53">
        <v>1197</v>
      </c>
      <c r="AW150" s="53">
        <v>548.36</v>
      </c>
      <c r="BA150" s="53">
        <f t="shared" si="15"/>
        <v>1745.3600000000001</v>
      </c>
    </row>
    <row r="151" spans="1:53" ht="15" customHeight="1" x14ac:dyDescent="0.25">
      <c r="A151" s="338" t="s">
        <v>678</v>
      </c>
      <c r="B151" s="19" t="s">
        <v>679</v>
      </c>
      <c r="C151" s="48">
        <v>2455</v>
      </c>
      <c r="D151" s="1" t="s">
        <v>416</v>
      </c>
      <c r="E151" s="1" t="s">
        <v>228</v>
      </c>
      <c r="F151" s="2">
        <v>16</v>
      </c>
      <c r="G151" s="358"/>
      <c r="H151" s="56">
        <f t="shared" si="7"/>
        <v>7423.5200000000032</v>
      </c>
      <c r="I151" s="56"/>
      <c r="J151" s="2">
        <f t="shared" si="12"/>
        <v>0</v>
      </c>
      <c r="L151" s="2" t="s">
        <v>304</v>
      </c>
      <c r="M151" s="172" t="s">
        <v>683</v>
      </c>
      <c r="AO151" s="2">
        <f t="shared" si="14"/>
        <v>0</v>
      </c>
      <c r="AT151" s="53">
        <v>16</v>
      </c>
      <c r="BA151" s="53">
        <f t="shared" si="15"/>
        <v>16</v>
      </c>
    </row>
    <row r="152" spans="1:53" ht="15" customHeight="1" x14ac:dyDescent="0.25">
      <c r="A152" s="338" t="s">
        <v>682</v>
      </c>
      <c r="B152" s="19" t="s">
        <v>683</v>
      </c>
      <c r="C152" s="48">
        <v>2457</v>
      </c>
      <c r="D152" s="1" t="s">
        <v>582</v>
      </c>
      <c r="E152" s="1" t="s">
        <v>228</v>
      </c>
      <c r="F152" s="2">
        <v>44</v>
      </c>
      <c r="G152" s="358"/>
      <c r="H152" s="56">
        <f t="shared" si="7"/>
        <v>7467.5200000000032</v>
      </c>
      <c r="I152" s="56"/>
      <c r="J152" s="2">
        <f t="shared" si="12"/>
        <v>0</v>
      </c>
      <c r="L152" s="2" t="s">
        <v>304</v>
      </c>
      <c r="M152" s="172"/>
      <c r="AO152" s="2">
        <f t="shared" si="14"/>
        <v>0</v>
      </c>
      <c r="AT152" s="53">
        <v>44</v>
      </c>
      <c r="BA152" s="53">
        <f t="shared" si="15"/>
        <v>44</v>
      </c>
    </row>
    <row r="153" spans="1:53" ht="15" customHeight="1" x14ac:dyDescent="0.25">
      <c r="A153" s="338" t="s">
        <v>684</v>
      </c>
      <c r="B153" s="19" t="s">
        <v>685</v>
      </c>
      <c r="D153" s="1" t="s">
        <v>94</v>
      </c>
      <c r="E153" s="1" t="s">
        <v>686</v>
      </c>
      <c r="G153" s="358">
        <v>22.2</v>
      </c>
      <c r="H153" s="56">
        <f t="shared" si="7"/>
        <v>7445.3200000000033</v>
      </c>
      <c r="I153" s="56"/>
      <c r="J153" s="2">
        <f t="shared" si="12"/>
        <v>22.2</v>
      </c>
      <c r="L153" s="2" t="s">
        <v>194</v>
      </c>
      <c r="M153" s="172"/>
      <c r="AI153" s="7">
        <v>22.2</v>
      </c>
      <c r="AO153" s="2">
        <f t="shared" si="14"/>
        <v>22.2</v>
      </c>
      <c r="BA153" s="53">
        <f t="shared" si="15"/>
        <v>0</v>
      </c>
    </row>
    <row r="154" spans="1:53" ht="15" customHeight="1" x14ac:dyDescent="0.25">
      <c r="A154" s="338" t="s">
        <v>687</v>
      </c>
      <c r="B154" s="19" t="s">
        <v>685</v>
      </c>
      <c r="D154" s="1" t="s">
        <v>202</v>
      </c>
      <c r="E154" s="1" t="s">
        <v>688</v>
      </c>
      <c r="G154" s="358">
        <v>18.36</v>
      </c>
      <c r="H154" s="56">
        <f t="shared" si="7"/>
        <v>7426.9600000000037</v>
      </c>
      <c r="I154" s="56"/>
      <c r="J154" s="2">
        <f t="shared" si="12"/>
        <v>18.36</v>
      </c>
      <c r="L154" s="2" t="s">
        <v>194</v>
      </c>
      <c r="M154" s="172"/>
      <c r="Q154" s="7">
        <v>18.36</v>
      </c>
      <c r="AO154" s="2">
        <f t="shared" si="14"/>
        <v>18.36</v>
      </c>
      <c r="BA154" s="53">
        <f t="shared" si="15"/>
        <v>0</v>
      </c>
    </row>
    <row r="155" spans="1:53" ht="15" customHeight="1" x14ac:dyDescent="0.25">
      <c r="A155" s="338" t="s">
        <v>689</v>
      </c>
      <c r="B155" s="19" t="s">
        <v>690</v>
      </c>
      <c r="D155" s="1" t="s">
        <v>197</v>
      </c>
      <c r="E155" s="1" t="s">
        <v>691</v>
      </c>
      <c r="G155" s="358">
        <v>126.67</v>
      </c>
      <c r="H155" s="56">
        <f t="shared" si="7"/>
        <v>7300.2900000000036</v>
      </c>
      <c r="I155" s="56"/>
      <c r="J155" s="2">
        <f t="shared" si="12"/>
        <v>126.67</v>
      </c>
      <c r="L155" s="2" t="s">
        <v>194</v>
      </c>
      <c r="M155" s="172"/>
      <c r="O155" s="53">
        <v>126.67</v>
      </c>
      <c r="AO155" s="2">
        <f t="shared" si="14"/>
        <v>126.67</v>
      </c>
      <c r="BA155" s="53">
        <f t="shared" si="15"/>
        <v>0</v>
      </c>
    </row>
    <row r="156" spans="1:53" ht="15" customHeight="1" x14ac:dyDescent="0.25">
      <c r="B156" s="19"/>
      <c r="D156" s="1" t="s">
        <v>264</v>
      </c>
      <c r="E156" s="1" t="s">
        <v>692</v>
      </c>
      <c r="G156" s="358">
        <v>116.48</v>
      </c>
      <c r="H156" s="56">
        <f t="shared" si="7"/>
        <v>7183.810000000004</v>
      </c>
      <c r="I156" s="56"/>
      <c r="J156" s="2">
        <f t="shared" si="12"/>
        <v>116.48</v>
      </c>
      <c r="L156" s="2" t="s">
        <v>209</v>
      </c>
      <c r="M156" s="172"/>
      <c r="AO156" s="2">
        <f t="shared" si="14"/>
        <v>0</v>
      </c>
      <c r="BA156" s="53">
        <f t="shared" si="15"/>
        <v>0</v>
      </c>
    </row>
    <row r="157" spans="1:53" ht="15" customHeight="1" x14ac:dyDescent="0.25">
      <c r="B157" s="19"/>
      <c r="D157" s="1" t="s">
        <v>693</v>
      </c>
      <c r="E157" s="1" t="s">
        <v>694</v>
      </c>
      <c r="G157" s="358">
        <v>145.47999999999999</v>
      </c>
      <c r="H157" s="56">
        <f t="shared" si="7"/>
        <v>7038.3300000000045</v>
      </c>
      <c r="I157" s="56"/>
      <c r="J157" s="2">
        <f t="shared" si="12"/>
        <v>145.47999999999999</v>
      </c>
      <c r="L157" s="2" t="s">
        <v>209</v>
      </c>
      <c r="M157" s="172"/>
      <c r="AO157" s="2">
        <f t="shared" si="14"/>
        <v>0</v>
      </c>
      <c r="BA157" s="53">
        <f t="shared" si="15"/>
        <v>0</v>
      </c>
    </row>
    <row r="158" spans="1:53" ht="15" customHeight="1" x14ac:dyDescent="0.25">
      <c r="B158" s="19"/>
      <c r="G158" s="358"/>
      <c r="H158" s="56">
        <f t="shared" si="7"/>
        <v>7038.3300000000045</v>
      </c>
      <c r="I158" s="56"/>
      <c r="J158" s="2">
        <f t="shared" si="12"/>
        <v>0</v>
      </c>
      <c r="M158" s="172"/>
      <c r="AO158" s="2">
        <f t="shared" si="14"/>
        <v>0</v>
      </c>
      <c r="BA158" s="53">
        <f t="shared" si="15"/>
        <v>0</v>
      </c>
    </row>
    <row r="159" spans="1:53" ht="15" customHeight="1" x14ac:dyDescent="0.25">
      <c r="B159" s="19"/>
      <c r="G159" s="358"/>
      <c r="H159" s="56">
        <f t="shared" si="7"/>
        <v>7038.3300000000045</v>
      </c>
      <c r="I159" s="56"/>
      <c r="J159" s="2">
        <f t="shared" si="12"/>
        <v>0</v>
      </c>
      <c r="M159" s="172"/>
      <c r="AO159" s="2">
        <f t="shared" si="14"/>
        <v>0</v>
      </c>
      <c r="BA159" s="53">
        <f t="shared" si="15"/>
        <v>0</v>
      </c>
    </row>
    <row r="160" spans="1:53" ht="15" customHeight="1" x14ac:dyDescent="0.25">
      <c r="B160" s="19"/>
      <c r="G160" s="358"/>
      <c r="H160" s="56">
        <f t="shared" si="7"/>
        <v>7038.3300000000045</v>
      </c>
      <c r="I160" s="56"/>
      <c r="J160" s="2">
        <f t="shared" si="12"/>
        <v>0</v>
      </c>
      <c r="M160" s="172"/>
      <c r="AO160" s="2">
        <f t="shared" si="14"/>
        <v>0</v>
      </c>
      <c r="BA160" s="53">
        <f t="shared" si="15"/>
        <v>0</v>
      </c>
    </row>
    <row r="161" spans="1:53 16382:16382" ht="15" customHeight="1" x14ac:dyDescent="0.25">
      <c r="B161" s="19"/>
      <c r="G161" s="358"/>
      <c r="H161" s="56">
        <f t="shared" si="7"/>
        <v>7038.3300000000045</v>
      </c>
      <c r="I161" s="56"/>
      <c r="J161" s="2">
        <f t="shared" si="12"/>
        <v>0</v>
      </c>
      <c r="M161" s="172"/>
      <c r="AO161" s="2">
        <f t="shared" si="14"/>
        <v>0</v>
      </c>
      <c r="BA161" s="53">
        <f t="shared" si="15"/>
        <v>0</v>
      </c>
    </row>
    <row r="162" spans="1:53 16382:16382" ht="15" customHeight="1" x14ac:dyDescent="0.25">
      <c r="B162" s="19"/>
      <c r="G162" s="358"/>
      <c r="H162" s="56">
        <f t="shared" si="7"/>
        <v>7038.3300000000045</v>
      </c>
      <c r="I162" s="56"/>
      <c r="J162" s="2">
        <f t="shared" si="12"/>
        <v>0</v>
      </c>
      <c r="M162" s="172"/>
      <c r="AO162" s="2">
        <f t="shared" si="14"/>
        <v>0</v>
      </c>
      <c r="BA162" s="53">
        <f t="shared" si="15"/>
        <v>0</v>
      </c>
    </row>
    <row r="163" spans="1:53 16382:16382" ht="15" customHeight="1" x14ac:dyDescent="0.25">
      <c r="B163" s="19"/>
      <c r="G163" s="358"/>
      <c r="H163" s="56">
        <f t="shared" si="7"/>
        <v>7038.3300000000045</v>
      </c>
      <c r="I163" s="56"/>
      <c r="J163" s="2">
        <f t="shared" si="12"/>
        <v>0</v>
      </c>
      <c r="M163" s="172"/>
      <c r="AO163" s="2">
        <f t="shared" si="14"/>
        <v>0</v>
      </c>
      <c r="BA163" s="53">
        <f t="shared" si="15"/>
        <v>0</v>
      </c>
    </row>
    <row r="164" spans="1:53 16382:16382" ht="15" customHeight="1" x14ac:dyDescent="0.25">
      <c r="B164" s="19"/>
      <c r="G164" s="358"/>
      <c r="H164" s="56">
        <f t="shared" si="7"/>
        <v>7038.3300000000045</v>
      </c>
      <c r="I164" s="56"/>
      <c r="J164" s="2">
        <f t="shared" si="12"/>
        <v>0</v>
      </c>
      <c r="M164" s="172"/>
      <c r="AO164" s="2">
        <f t="shared" si="14"/>
        <v>0</v>
      </c>
      <c r="BA164" s="53">
        <f t="shared" si="15"/>
        <v>0</v>
      </c>
    </row>
    <row r="165" spans="1:53 16382:16382" ht="15" customHeight="1" x14ac:dyDescent="0.25">
      <c r="B165" s="19"/>
      <c r="G165" s="358"/>
      <c r="H165" s="56">
        <f t="shared" si="7"/>
        <v>7038.3300000000045</v>
      </c>
      <c r="I165" s="56"/>
      <c r="J165" s="2">
        <f t="shared" si="12"/>
        <v>0</v>
      </c>
      <c r="M165" s="172"/>
      <c r="AO165" s="2">
        <f t="shared" si="14"/>
        <v>0</v>
      </c>
      <c r="BA165" s="53">
        <f t="shared" si="15"/>
        <v>0</v>
      </c>
    </row>
    <row r="166" spans="1:53 16382:16382" ht="15" customHeight="1" x14ac:dyDescent="0.25">
      <c r="B166" s="19"/>
      <c r="G166" s="358"/>
      <c r="H166" s="56">
        <f t="shared" si="7"/>
        <v>7038.3300000000045</v>
      </c>
      <c r="I166" s="56"/>
      <c r="J166" s="2">
        <f t="shared" si="12"/>
        <v>0</v>
      </c>
      <c r="M166" s="172"/>
      <c r="AO166" s="2">
        <f t="shared" si="14"/>
        <v>0</v>
      </c>
      <c r="BA166" s="53">
        <f t="shared" si="15"/>
        <v>0</v>
      </c>
    </row>
    <row r="167" spans="1:53 16382:16382" ht="15" customHeight="1" x14ac:dyDescent="0.25">
      <c r="B167" s="19"/>
      <c r="G167" s="358"/>
      <c r="H167" s="56">
        <f t="shared" si="7"/>
        <v>7038.3300000000045</v>
      </c>
      <c r="I167" s="56"/>
      <c r="J167" s="2">
        <f t="shared" si="12"/>
        <v>0</v>
      </c>
      <c r="M167" s="172"/>
      <c r="AO167" s="2">
        <f t="shared" si="14"/>
        <v>0</v>
      </c>
      <c r="BA167" s="53">
        <f t="shared" si="15"/>
        <v>0</v>
      </c>
    </row>
    <row r="168" spans="1:53 16382:16382" ht="15" customHeight="1" x14ac:dyDescent="0.25">
      <c r="B168" s="19"/>
      <c r="G168" s="358"/>
      <c r="H168" s="56">
        <f t="shared" si="7"/>
        <v>7038.3300000000045</v>
      </c>
      <c r="I168" s="56"/>
      <c r="J168" s="2">
        <f t="shared" si="12"/>
        <v>0</v>
      </c>
      <c r="M168" s="172"/>
      <c r="AO168" s="2">
        <f t="shared" si="14"/>
        <v>0</v>
      </c>
      <c r="BA168" s="53">
        <f t="shared" si="15"/>
        <v>0</v>
      </c>
    </row>
    <row r="169" spans="1:53 16382:16382" ht="15" customHeight="1" x14ac:dyDescent="0.25">
      <c r="B169" s="19"/>
      <c r="G169" s="358"/>
      <c r="H169" s="56">
        <f t="shared" si="7"/>
        <v>7038.3300000000045</v>
      </c>
      <c r="I169" s="56"/>
      <c r="J169" s="2">
        <f t="shared" si="12"/>
        <v>0</v>
      </c>
      <c r="M169" s="172"/>
      <c r="AO169" s="2">
        <f t="shared" si="14"/>
        <v>0</v>
      </c>
      <c r="BA169" s="53">
        <f t="shared" si="15"/>
        <v>0</v>
      </c>
    </row>
    <row r="170" spans="1:53 16382:16382" ht="15" customHeight="1" x14ac:dyDescent="0.25">
      <c r="A170" s="392"/>
      <c r="B170" s="13"/>
      <c r="C170" s="15"/>
      <c r="D170" s="16"/>
      <c r="E170" s="16"/>
      <c r="F170" s="4"/>
      <c r="H170" s="56">
        <f t="shared" si="7"/>
        <v>7038.3300000000045</v>
      </c>
      <c r="J170" s="2">
        <f t="shared" si="12"/>
        <v>0</v>
      </c>
      <c r="M170" s="172"/>
      <c r="N170" s="7"/>
      <c r="O170" s="7"/>
      <c r="P170" s="7"/>
      <c r="R170" s="7"/>
      <c r="T170" s="7"/>
      <c r="U170" s="7"/>
      <c r="V170" s="7"/>
      <c r="AO170" s="2">
        <f t="shared" si="14"/>
        <v>0</v>
      </c>
      <c r="AP170" s="7"/>
      <c r="BA170" s="53">
        <f t="shared" si="15"/>
        <v>0</v>
      </c>
    </row>
    <row r="171" spans="1:53 16382:16382" ht="15.75" customHeight="1" thickBot="1" x14ac:dyDescent="0.3">
      <c r="F171" s="50">
        <f>SUM(F6:F170)</f>
        <v>26746.140000000003</v>
      </c>
      <c r="G171" s="360">
        <f>SUM(G6:G170)</f>
        <v>26968.25</v>
      </c>
      <c r="H171" s="374">
        <f>SUM(H170)</f>
        <v>7038.3300000000045</v>
      </c>
      <c r="I171" s="50">
        <f>SUM(I6:I170)</f>
        <v>3447.0500000000011</v>
      </c>
      <c r="J171" s="50">
        <f>SUM(J6:J170)</f>
        <v>23521.199999999997</v>
      </c>
      <c r="K171" s="396"/>
      <c r="L171" s="363"/>
      <c r="M171" s="58"/>
      <c r="N171" s="363">
        <f t="shared" ref="N171:AO171" si="16">SUM(N6:N170)</f>
        <v>4157.920000000001</v>
      </c>
      <c r="O171" s="363">
        <f t="shared" si="16"/>
        <v>1178.02</v>
      </c>
      <c r="P171" s="363">
        <f t="shared" si="16"/>
        <v>208</v>
      </c>
      <c r="Q171" s="363">
        <f t="shared" si="16"/>
        <v>176.97000000000003</v>
      </c>
      <c r="R171" s="363">
        <f t="shared" si="16"/>
        <v>234</v>
      </c>
      <c r="S171" s="363">
        <f t="shared" si="16"/>
        <v>0</v>
      </c>
      <c r="T171" s="363">
        <f t="shared" si="16"/>
        <v>86</v>
      </c>
      <c r="U171" s="363">
        <f t="shared" si="16"/>
        <v>273</v>
      </c>
      <c r="V171" s="363">
        <f t="shared" si="16"/>
        <v>0</v>
      </c>
      <c r="W171" s="363">
        <f t="shared" si="16"/>
        <v>685.92</v>
      </c>
      <c r="X171" s="363">
        <f t="shared" si="16"/>
        <v>513.64</v>
      </c>
      <c r="Y171" s="363">
        <f t="shared" si="16"/>
        <v>61.94</v>
      </c>
      <c r="Z171" s="363">
        <f t="shared" si="16"/>
        <v>92</v>
      </c>
      <c r="AA171" s="363">
        <f t="shared" si="16"/>
        <v>75</v>
      </c>
      <c r="AB171" s="363">
        <f t="shared" si="16"/>
        <v>210</v>
      </c>
      <c r="AC171" s="363">
        <f t="shared" si="16"/>
        <v>1916.83</v>
      </c>
      <c r="AD171" s="363">
        <f t="shared" si="16"/>
        <v>0</v>
      </c>
      <c r="AE171" s="363">
        <f t="shared" si="16"/>
        <v>0</v>
      </c>
      <c r="AF171" s="363">
        <f t="shared" si="16"/>
        <v>704.67</v>
      </c>
      <c r="AG171" s="363">
        <f t="shared" si="16"/>
        <v>783.26</v>
      </c>
      <c r="AH171" s="363">
        <f t="shared" si="16"/>
        <v>20</v>
      </c>
      <c r="AI171" s="363">
        <f t="shared" si="16"/>
        <v>22.2</v>
      </c>
      <c r="AJ171" s="363">
        <f t="shared" si="16"/>
        <v>239.99</v>
      </c>
      <c r="AK171" s="363">
        <f t="shared" si="16"/>
        <v>10105.779999999999</v>
      </c>
      <c r="AL171" s="363">
        <f t="shared" si="16"/>
        <v>64.759999999999991</v>
      </c>
      <c r="AM171" s="363">
        <f t="shared" si="16"/>
        <v>617.1</v>
      </c>
      <c r="AN171" s="363">
        <f t="shared" si="16"/>
        <v>832.24</v>
      </c>
      <c r="AO171" s="363">
        <f t="shared" si="16"/>
        <v>23259.239999999998</v>
      </c>
      <c r="AP171" s="7"/>
      <c r="AQ171" s="2">
        <f>SUM(AQ6:AQ170)</f>
        <v>12500</v>
      </c>
      <c r="AR171" s="2">
        <f>SUM(AR6:AR170)</f>
        <v>220</v>
      </c>
      <c r="AS171" s="2">
        <f>SUM(AS6:AS170)</f>
        <v>0</v>
      </c>
      <c r="AT171" s="2">
        <f>SUM(AT6:AT170)</f>
        <v>1564</v>
      </c>
      <c r="AU171" s="2">
        <f>SUM(AU6:AU170)</f>
        <v>3967.25</v>
      </c>
      <c r="AV171" s="2">
        <f>SUM(AV6:AV170)</f>
        <v>370</v>
      </c>
      <c r="AW171" s="2">
        <f>SUM(AW6:AW170)</f>
        <v>2606.6799999999998</v>
      </c>
      <c r="AX171" s="2">
        <f>SUM(AX6:AX170)</f>
        <v>474.33</v>
      </c>
      <c r="AY171" s="2">
        <f>SUM(AY6:AY170)</f>
        <v>2112.77</v>
      </c>
      <c r="AZ171" s="2">
        <f>SUM(AZ6:AZ170)</f>
        <v>2931.11</v>
      </c>
      <c r="BA171" s="2">
        <f>SUM(BA6:BA170)</f>
        <v>26746.140000000003</v>
      </c>
      <c r="XFB171" s="53">
        <f>SUM(AQ171:XFA171)</f>
        <v>53492.280000000006</v>
      </c>
    </row>
    <row r="172" spans="1:53 16382:16382" ht="15" customHeight="1" thickTop="1" x14ac:dyDescent="0.25">
      <c r="G172" s="362"/>
      <c r="H172" s="363"/>
      <c r="I172" s="363"/>
      <c r="J172" s="363"/>
      <c r="K172" s="396"/>
      <c r="L172" s="363"/>
      <c r="M172" s="58"/>
      <c r="N172" s="363"/>
      <c r="O172" s="363"/>
      <c r="P172" s="363"/>
      <c r="Q172" s="363"/>
      <c r="R172" s="363"/>
      <c r="S172" s="363"/>
      <c r="T172" s="363"/>
      <c r="U172" s="363"/>
      <c r="V172" s="363"/>
      <c r="W172" s="363"/>
      <c r="X172" s="363"/>
      <c r="Y172" s="363"/>
      <c r="Z172" s="363"/>
      <c r="AA172" s="363"/>
      <c r="AB172" s="363"/>
      <c r="AC172" s="363"/>
      <c r="AD172" s="363"/>
      <c r="AE172" s="363"/>
      <c r="AF172" s="363"/>
      <c r="AG172" s="363"/>
      <c r="AH172" s="363"/>
      <c r="AI172" s="363"/>
      <c r="AJ172" s="363"/>
      <c r="AK172" s="363"/>
      <c r="AL172" s="363"/>
      <c r="AM172" s="363"/>
      <c r="AN172" s="363"/>
      <c r="AO172" s="2"/>
      <c r="AP172" s="7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</row>
    <row r="173" spans="1:53 16382:16382" s="5" customFormat="1" ht="15" customHeight="1" x14ac:dyDescent="0.25">
      <c r="A173" s="407"/>
      <c r="B173" s="5" t="s">
        <v>10</v>
      </c>
      <c r="C173" s="379"/>
      <c r="F173" s="375">
        <f>SUM(F171-F175)</f>
        <v>25519.690000000002</v>
      </c>
      <c r="G173" s="376">
        <f>G171-G175</f>
        <v>26748.25</v>
      </c>
      <c r="H173" s="363"/>
      <c r="I173" s="375">
        <f>SUM(I171-I175)</f>
        <v>3447.0500000000011</v>
      </c>
      <c r="J173" s="363">
        <f>J171</f>
        <v>23521.199999999997</v>
      </c>
      <c r="K173" s="396"/>
      <c r="L173" s="363"/>
      <c r="M173" s="57"/>
      <c r="N173" s="363">
        <f>N171</f>
        <v>4157.920000000001</v>
      </c>
      <c r="O173" s="363">
        <f>O171</f>
        <v>1178.02</v>
      </c>
      <c r="P173" s="363">
        <f>P171</f>
        <v>208</v>
      </c>
      <c r="Q173" s="363">
        <f t="shared" ref="Q173:AN173" si="17">Q171</f>
        <v>176.97000000000003</v>
      </c>
      <c r="R173" s="363">
        <f t="shared" si="17"/>
        <v>234</v>
      </c>
      <c r="S173" s="363">
        <f t="shared" si="17"/>
        <v>0</v>
      </c>
      <c r="T173" s="363">
        <f t="shared" si="17"/>
        <v>86</v>
      </c>
      <c r="U173" s="363">
        <f>U171</f>
        <v>273</v>
      </c>
      <c r="V173" s="363">
        <f t="shared" si="17"/>
        <v>0</v>
      </c>
      <c r="W173" s="363">
        <f t="shared" si="17"/>
        <v>685.92</v>
      </c>
      <c r="X173" s="363">
        <f t="shared" si="17"/>
        <v>513.64</v>
      </c>
      <c r="Y173" s="363">
        <f t="shared" si="17"/>
        <v>61.94</v>
      </c>
      <c r="Z173" s="363">
        <f t="shared" si="17"/>
        <v>92</v>
      </c>
      <c r="AA173" s="363">
        <f t="shared" si="17"/>
        <v>75</v>
      </c>
      <c r="AB173" s="363">
        <f t="shared" si="17"/>
        <v>210</v>
      </c>
      <c r="AC173" s="363">
        <f t="shared" si="17"/>
        <v>1916.83</v>
      </c>
      <c r="AD173" s="363">
        <f t="shared" si="17"/>
        <v>0</v>
      </c>
      <c r="AE173" s="363">
        <f t="shared" si="17"/>
        <v>0</v>
      </c>
      <c r="AF173" s="363">
        <f t="shared" si="17"/>
        <v>704.67</v>
      </c>
      <c r="AG173" s="363">
        <f t="shared" si="17"/>
        <v>783.26</v>
      </c>
      <c r="AH173" s="363">
        <f t="shared" si="17"/>
        <v>20</v>
      </c>
      <c r="AI173" s="363">
        <f t="shared" si="17"/>
        <v>22.2</v>
      </c>
      <c r="AJ173" s="363">
        <f t="shared" si="17"/>
        <v>239.99</v>
      </c>
      <c r="AK173" s="363">
        <f t="shared" si="17"/>
        <v>10105.779999999999</v>
      </c>
      <c r="AL173" s="363">
        <f t="shared" si="17"/>
        <v>64.759999999999991</v>
      </c>
      <c r="AM173" s="363">
        <f t="shared" si="17"/>
        <v>617.1</v>
      </c>
      <c r="AN173" s="363">
        <f t="shared" si="17"/>
        <v>832.24</v>
      </c>
      <c r="AO173" s="363">
        <f>SUM(N173:AN173)</f>
        <v>23259.239999999998</v>
      </c>
      <c r="AP173" s="6"/>
      <c r="AQ173" s="363">
        <f>SUM(AQ171)</f>
        <v>12500</v>
      </c>
      <c r="AR173" s="363">
        <f>SUM(AR171)</f>
        <v>220</v>
      </c>
      <c r="AS173" s="363">
        <f t="shared" ref="AS173:AZ173" si="18">SUM(AS171)</f>
        <v>0</v>
      </c>
      <c r="AT173" s="363">
        <f t="shared" si="18"/>
        <v>1564</v>
      </c>
      <c r="AU173" s="363">
        <f t="shared" si="18"/>
        <v>3967.25</v>
      </c>
      <c r="AV173" s="363">
        <f t="shared" si="18"/>
        <v>370</v>
      </c>
      <c r="AW173" s="363">
        <f t="shared" si="18"/>
        <v>2606.6799999999998</v>
      </c>
      <c r="AX173" s="363">
        <f t="shared" si="18"/>
        <v>474.33</v>
      </c>
      <c r="AY173" s="363">
        <f t="shared" si="18"/>
        <v>2112.77</v>
      </c>
      <c r="AZ173" s="363">
        <f t="shared" si="18"/>
        <v>2931.11</v>
      </c>
      <c r="BA173" s="363">
        <f>SUM(AQ173:AZ173)</f>
        <v>26746.140000000003</v>
      </c>
    </row>
    <row r="174" spans="1:53 16382:16382" ht="15" customHeight="1" x14ac:dyDescent="0.25">
      <c r="M174" s="58"/>
      <c r="N174" s="7"/>
      <c r="O174" s="7"/>
      <c r="P174" s="7"/>
      <c r="R174" s="7"/>
      <c r="T174" s="7"/>
      <c r="U174" s="7"/>
      <c r="V174" s="7"/>
      <c r="AO174" s="2">
        <f>SUM(AO173+I171)</f>
        <v>26706.29</v>
      </c>
      <c r="AP174" s="7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</row>
    <row r="175" spans="1:53 16382:16382" s="5" customFormat="1" ht="15" customHeight="1" x14ac:dyDescent="0.25">
      <c r="A175" s="407"/>
      <c r="B175" s="5" t="s">
        <v>11</v>
      </c>
      <c r="C175" s="379"/>
      <c r="E175" s="5" t="s">
        <v>488</v>
      </c>
      <c r="F175" s="363">
        <f>SUBTOTAL(9,F176:F179)</f>
        <v>1226.45</v>
      </c>
      <c r="G175" s="362">
        <f>SUM(G176:G178)</f>
        <v>220</v>
      </c>
      <c r="H175" s="363"/>
      <c r="I175" s="363"/>
      <c r="J175" s="363"/>
      <c r="K175" s="396"/>
      <c r="L175" s="363"/>
      <c r="M175" s="57"/>
      <c r="N175" s="6" t="s">
        <v>20</v>
      </c>
      <c r="O175" s="6">
        <f>SUM(N173:O173)</f>
        <v>5335.9400000000005</v>
      </c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J175" s="6"/>
      <c r="AK175" s="6"/>
      <c r="AL175" s="6"/>
      <c r="AM175" s="6" t="s">
        <v>21</v>
      </c>
      <c r="AN175" s="6">
        <f>SUM(P173:AN173)+I171</f>
        <v>21370.35</v>
      </c>
      <c r="AO175" s="6"/>
      <c r="AQ175" s="380" t="s">
        <v>12</v>
      </c>
      <c r="AR175" s="363">
        <f>SUM(AQ173)</f>
        <v>12500</v>
      </c>
      <c r="AS175" s="363"/>
      <c r="AT175" s="363"/>
      <c r="AU175" s="363"/>
      <c r="AV175" s="363"/>
      <c r="AW175" s="363"/>
      <c r="AX175" s="51"/>
      <c r="AY175" s="51" t="s">
        <v>186</v>
      </c>
      <c r="AZ175" s="363">
        <f>SUBTOTAL(9,AR173:AZ173)</f>
        <v>14246.140000000001</v>
      </c>
      <c r="BA175" s="363"/>
    </row>
    <row r="176" spans="1:53 16382:16382" ht="15" customHeight="1" x14ac:dyDescent="0.25">
      <c r="F176" s="2">
        <v>206.45</v>
      </c>
      <c r="G176" s="356">
        <v>220</v>
      </c>
      <c r="AQ176" s="2"/>
      <c r="AR176" s="2"/>
      <c r="AS176" s="2"/>
      <c r="AT176" s="2"/>
      <c r="AU176" s="2"/>
      <c r="AV176" s="2"/>
      <c r="AW176" s="2"/>
      <c r="AX176" s="2"/>
      <c r="AY176" s="2" t="s">
        <v>503</v>
      </c>
      <c r="AZ176" s="2">
        <f>SUM(AZ175-F175)</f>
        <v>13019.69</v>
      </c>
      <c r="BA176" s="2"/>
    </row>
    <row r="177" spans="6:53" ht="29.25" customHeight="1" x14ac:dyDescent="0.25">
      <c r="F177" s="2">
        <v>1020</v>
      </c>
      <c r="AM177" s="7" t="s">
        <v>496</v>
      </c>
      <c r="AN177" s="2">
        <f>SUM(AN175+O175)</f>
        <v>26706.29</v>
      </c>
      <c r="AQ177" s="2"/>
      <c r="AR177" s="2"/>
      <c r="AS177" s="2"/>
      <c r="AT177" s="2"/>
      <c r="AU177" s="2"/>
      <c r="AV177" s="2"/>
      <c r="AW177" s="2"/>
      <c r="AX177" s="366"/>
      <c r="AY177" s="366" t="s">
        <v>495</v>
      </c>
      <c r="AZ177" s="2">
        <f>AZ175+AR175</f>
        <v>26746.14</v>
      </c>
      <c r="BA177" s="2"/>
    </row>
    <row r="178" spans="6:53" ht="15" customHeight="1" x14ac:dyDescent="0.25">
      <c r="F178" s="53"/>
    </row>
    <row r="180" spans="6:53" ht="15" customHeight="1" x14ac:dyDescent="0.25">
      <c r="AY180" s="53" t="s">
        <v>502</v>
      </c>
      <c r="AZ180" s="2">
        <f>SUM(BA173-F175)</f>
        <v>25519.690000000002</v>
      </c>
    </row>
  </sheetData>
  <autoFilter ref="A5:AO171" xr:uid="{00000000-0001-0000-0100-000000000000}"/>
  <mergeCells count="2">
    <mergeCell ref="N2:Q2"/>
    <mergeCell ref="R2:AM2"/>
  </mergeCells>
  <conditionalFormatting sqref="F6 F8 F10:F12 F14 F16:F19 F52:F53 F79:F170">
    <cfRule type="expression" dxfId="22" priority="326">
      <formula>AND($AO6&lt;&gt;$F6,$BA6&lt;&gt;$F6)</formula>
    </cfRule>
  </conditionalFormatting>
  <conditionalFormatting sqref="F6 H6 J6:BA6 A7:K7 M7:XFD7 L7:L170 F8 H8 J8:K8 M8:BA8 A9:K9 M9:XFD9 M10:BA12 F10:F14 H10:H14 J10:K14 AO13 BA13 M14:BA14 A15:K15 M15:XFD15 F16:F19 H16:H19 J16:K19 M16:BA19 A20:K51 M20:XFD51 F52:F53 H52:H53 J52:K53 N52:BA53 A54:K77 M54:XFD77 N78:AN78 AO78:BA79 J78:K86 H78:H171 M79:AN79 F79:F84 M80:BA170 A85:H86 A87:K88 A89:H92 J89:K92 J92:J170 A93:K170">
    <cfRule type="expression" dxfId="21" priority="10">
      <formula>LEFT($A6,1)="R"</formula>
    </cfRule>
  </conditionalFormatting>
  <conditionalFormatting sqref="F13">
    <cfRule type="expression" dxfId="20" priority="12">
      <formula>AND(#REF!&lt;&gt;$F13,#REF!&lt;&gt;$F13)</formula>
    </cfRule>
  </conditionalFormatting>
  <conditionalFormatting sqref="I85">
    <cfRule type="expression" dxfId="19" priority="3">
      <formula>LEFT($A85,1)="R"</formula>
    </cfRule>
    <cfRule type="expression" dxfId="18" priority="4">
      <formula>$J85&lt;&gt;$AO85</formula>
    </cfRule>
  </conditionalFormatting>
  <conditionalFormatting sqref="I92">
    <cfRule type="expression" dxfId="17" priority="1">
      <formula>LEFT($A92,1)="R"</formula>
    </cfRule>
    <cfRule type="expression" dxfId="16" priority="2">
      <formula>$J92&lt;&gt;$AO92</formula>
    </cfRule>
  </conditionalFormatting>
  <conditionalFormatting sqref="J10:K14 J16:K19 M54:XFD77 J6:L6 A7:K7 M7:XFD7 L7:L170 J8:K8 A9:K9 M9:XFD9 A15:K15 M15:XFD15 A20:K51 M20:XFD51 J52:K53 A54:K77 AO78:AO79 J78:K170">
    <cfRule type="expression" dxfId="15" priority="301">
      <formula>$J6&lt;&gt;$AO6</formula>
    </cfRule>
  </conditionalFormatting>
  <conditionalFormatting sqref="AO6 AO8 J10:K14 M10:BA14 J16:K19 M16:BA19 AO52:AO53 BA52:BA53 AO55 AO59 BA78:BA170 AO80:AO170">
    <cfRule type="expression" dxfId="14" priority="11">
      <formula>LEFT(#REF!,1)="R"</formula>
    </cfRule>
  </conditionalFormatting>
  <dataValidations count="1">
    <dataValidation type="list" allowBlank="1" showInputMessage="1" showErrorMessage="1" sqref="L5:L6" xr:uid="{FC99E90B-9DF3-43EC-A9AE-8EFCB06F4A61}">
      <formula1>$L$6:$L$170</formula1>
    </dataValidation>
  </dataValidations>
  <pageMargins left="0.70866141732283472" right="0.70866141732283472" top="0.74803149606299213" bottom="0.74803149606299213" header="0.31496062992125984" footer="0.31496062992125984"/>
  <pageSetup paperSize="9" scale="55" fitToHeight="0" orientation="landscape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48362-4FCF-4933-8C5F-A47E227F93B3}">
  <sheetPr>
    <pageSetUpPr fitToPage="1"/>
  </sheetPr>
  <dimension ref="A1:Q25"/>
  <sheetViews>
    <sheetView zoomScale="90" zoomScaleNormal="90" workbookViewId="0">
      <pane ySplit="3" topLeftCell="A4" activePane="bottomLeft" state="frozen"/>
      <selection activeCell="D25" sqref="D25"/>
      <selection pane="bottomLeft" activeCell="D25" sqref="D25"/>
    </sheetView>
  </sheetViews>
  <sheetFormatPr defaultColWidth="9.140625" defaultRowHeight="15" x14ac:dyDescent="0.25"/>
  <cols>
    <col min="1" max="1" width="4.85546875" style="377" customWidth="1"/>
    <col min="2" max="3" width="12.7109375" style="1" customWidth="1"/>
    <col min="4" max="4" width="18.85546875" style="339" customWidth="1"/>
    <col min="5" max="5" width="27.42578125" style="339" customWidth="1"/>
    <col min="6" max="6" width="11.42578125" style="2" customWidth="1"/>
    <col min="7" max="7" width="11.42578125" style="356" customWidth="1"/>
    <col min="8" max="8" width="12.85546875" style="2" customWidth="1"/>
    <col min="9" max="10" width="11.42578125" style="2" customWidth="1"/>
    <col min="11" max="11" width="11" style="8" customWidth="1"/>
    <col min="12" max="14" width="11.42578125" style="2" customWidth="1"/>
    <col min="16" max="16" width="9.140625" style="53"/>
    <col min="17" max="17" width="11.140625" style="1" customWidth="1"/>
    <col min="18" max="16384" width="9.140625" style="1"/>
  </cols>
  <sheetData>
    <row r="1" spans="1:17" ht="15" customHeight="1" x14ac:dyDescent="0.25">
      <c r="B1" s="5" t="s">
        <v>486</v>
      </c>
      <c r="C1" s="5"/>
    </row>
    <row r="2" spans="1:17" ht="15.75" customHeight="1" x14ac:dyDescent="0.25">
      <c r="B2" s="5"/>
      <c r="C2" s="5"/>
    </row>
    <row r="3" spans="1:17" ht="75" customHeight="1" x14ac:dyDescent="0.25">
      <c r="B3" s="357" t="s">
        <v>0</v>
      </c>
      <c r="C3" s="357" t="s">
        <v>1</v>
      </c>
      <c r="D3" s="339" t="s">
        <v>15</v>
      </c>
      <c r="E3" s="339" t="s">
        <v>16</v>
      </c>
      <c r="F3" s="2" t="s">
        <v>487</v>
      </c>
      <c r="G3" s="358" t="s">
        <v>23</v>
      </c>
      <c r="H3" s="56" t="s">
        <v>57</v>
      </c>
      <c r="I3" s="56" t="s">
        <v>3</v>
      </c>
      <c r="J3" s="59" t="s">
        <v>4</v>
      </c>
      <c r="K3" s="61" t="s">
        <v>105</v>
      </c>
      <c r="L3" s="56"/>
      <c r="M3" s="56" t="s">
        <v>498</v>
      </c>
      <c r="N3" s="56" t="s">
        <v>499</v>
      </c>
      <c r="P3" s="359" t="s">
        <v>7</v>
      </c>
    </row>
    <row r="4" spans="1:17" ht="15" customHeight="1" x14ac:dyDescent="0.25">
      <c r="G4" s="358"/>
      <c r="H4" s="56">
        <f>SUM('Bank Recon'!D26)</f>
        <v>18652.080000000002</v>
      </c>
      <c r="I4" s="56"/>
      <c r="J4" s="56"/>
      <c r="K4" s="20"/>
      <c r="L4" s="56"/>
      <c r="M4" s="56"/>
      <c r="N4" s="56"/>
    </row>
    <row r="5" spans="1:17" ht="15" customHeight="1" x14ac:dyDescent="0.25">
      <c r="B5" s="1" t="s">
        <v>0</v>
      </c>
      <c r="D5" s="339" t="s">
        <v>9</v>
      </c>
      <c r="E5" s="339" t="s">
        <v>16</v>
      </c>
      <c r="G5" s="358" t="s">
        <v>2</v>
      </c>
      <c r="H5" s="56"/>
      <c r="I5" s="56" t="s">
        <v>3</v>
      </c>
      <c r="J5" s="56" t="s">
        <v>4</v>
      </c>
      <c r="L5" s="56"/>
      <c r="M5" s="56"/>
      <c r="N5" s="56"/>
    </row>
    <row r="6" spans="1:17" ht="15" customHeight="1" x14ac:dyDescent="0.25">
      <c r="A6" s="48" t="s">
        <v>337</v>
      </c>
      <c r="B6" s="390" t="s">
        <v>290</v>
      </c>
      <c r="C6" s="338"/>
      <c r="D6" s="339" t="s">
        <v>338</v>
      </c>
      <c r="E6" s="339" t="s">
        <v>339</v>
      </c>
      <c r="G6" s="373">
        <v>206.45</v>
      </c>
      <c r="H6" s="56">
        <f>IF($F6&gt;0,$H$4+$F6,IF($G6&gt;0,$H$4-$G6,$H$4))</f>
        <v>18445.63</v>
      </c>
      <c r="I6" s="56"/>
      <c r="J6" s="56"/>
      <c r="K6" s="357" t="s">
        <v>400</v>
      </c>
      <c r="L6" s="56"/>
      <c r="M6" s="56">
        <v>206.45</v>
      </c>
      <c r="N6" s="56"/>
      <c r="Q6" s="53">
        <f t="shared" ref="Q6:Q9" si="0">SUM(P6:P6)</f>
        <v>0</v>
      </c>
    </row>
    <row r="7" spans="1:17" s="56" customFormat="1" ht="15" customHeight="1" x14ac:dyDescent="0.25">
      <c r="A7" s="8" t="s">
        <v>314</v>
      </c>
      <c r="B7" s="56" t="s">
        <v>315</v>
      </c>
      <c r="D7" s="387" t="s">
        <v>316</v>
      </c>
      <c r="E7" s="391" t="s">
        <v>317</v>
      </c>
      <c r="F7" s="56">
        <v>69.59</v>
      </c>
      <c r="G7" s="358"/>
      <c r="H7" s="56">
        <f>IF($F7&gt;0,$H6+$F7,IF($G7&gt;0,$H6-$G7,$H6))</f>
        <v>18515.22</v>
      </c>
      <c r="K7" s="56" t="s">
        <v>400</v>
      </c>
      <c r="N7" s="56">
        <f t="shared" ref="N7:N14" si="1">SUM(M7)</f>
        <v>0</v>
      </c>
      <c r="P7" s="56">
        <v>69.59</v>
      </c>
      <c r="Q7" s="56">
        <f t="shared" si="0"/>
        <v>69.59</v>
      </c>
    </row>
    <row r="8" spans="1:17" s="56" customFormat="1" ht="15" customHeight="1" x14ac:dyDescent="0.25">
      <c r="A8" s="8" t="s">
        <v>357</v>
      </c>
      <c r="B8" s="56" t="s">
        <v>407</v>
      </c>
      <c r="D8" s="387" t="s">
        <v>338</v>
      </c>
      <c r="E8" s="387" t="s">
        <v>408</v>
      </c>
      <c r="G8" s="358">
        <v>1020</v>
      </c>
      <c r="H8" s="56">
        <f t="shared" ref="H8:H14" si="2">IF($F8&gt;0,$H7+$F8,IF($G8&gt;0,$H7-$G8,$H7))</f>
        <v>17495.22</v>
      </c>
      <c r="K8" s="56" t="s">
        <v>469</v>
      </c>
      <c r="M8" s="56">
        <v>1020</v>
      </c>
      <c r="Q8" s="56">
        <f t="shared" si="0"/>
        <v>0</v>
      </c>
    </row>
    <row r="9" spans="1:17" s="56" customFormat="1" ht="15" customHeight="1" x14ac:dyDescent="0.25">
      <c r="A9" s="8" t="s">
        <v>395</v>
      </c>
      <c r="B9" s="56" t="s">
        <v>478</v>
      </c>
      <c r="D9" s="387" t="s">
        <v>316</v>
      </c>
      <c r="E9" s="387" t="s">
        <v>317</v>
      </c>
      <c r="F9" s="56">
        <v>66.14</v>
      </c>
      <c r="G9" s="358"/>
      <c r="H9" s="56">
        <f t="shared" si="2"/>
        <v>17561.36</v>
      </c>
      <c r="K9" s="56" t="s">
        <v>536</v>
      </c>
      <c r="N9" s="56">
        <f t="shared" si="1"/>
        <v>0</v>
      </c>
      <c r="P9" s="56">
        <v>66.14</v>
      </c>
      <c r="Q9" s="56">
        <f t="shared" si="0"/>
        <v>66.14</v>
      </c>
    </row>
    <row r="10" spans="1:17" ht="15" customHeight="1" x14ac:dyDescent="0.25">
      <c r="A10" s="386" t="s">
        <v>570</v>
      </c>
      <c r="B10" s="56" t="s">
        <v>568</v>
      </c>
      <c r="C10" s="14"/>
      <c r="D10" s="17" t="s">
        <v>338</v>
      </c>
      <c r="E10" s="17" t="s">
        <v>571</v>
      </c>
      <c r="F10" s="4">
        <v>220</v>
      </c>
      <c r="G10" s="358"/>
      <c r="H10" s="56">
        <f t="shared" si="2"/>
        <v>17781.36</v>
      </c>
      <c r="I10" s="56"/>
      <c r="K10" s="370" t="s">
        <v>621</v>
      </c>
      <c r="N10" s="2">
        <v>220</v>
      </c>
      <c r="O10" s="2"/>
      <c r="Q10" s="53">
        <f>SUM(M10:P10)</f>
        <v>220</v>
      </c>
    </row>
    <row r="11" spans="1:17" ht="15" customHeight="1" x14ac:dyDescent="0.25">
      <c r="A11" s="386" t="s">
        <v>574</v>
      </c>
      <c r="B11" s="56" t="s">
        <v>568</v>
      </c>
      <c r="C11" s="14"/>
      <c r="D11" s="17" t="s">
        <v>338</v>
      </c>
      <c r="E11" s="17" t="s">
        <v>573</v>
      </c>
      <c r="F11" s="4"/>
      <c r="G11" s="358">
        <v>206</v>
      </c>
      <c r="H11" s="56">
        <f t="shared" si="2"/>
        <v>17575.36</v>
      </c>
      <c r="I11" s="56"/>
      <c r="K11" s="370" t="s">
        <v>621</v>
      </c>
      <c r="M11" s="2">
        <v>206</v>
      </c>
      <c r="N11" s="56"/>
      <c r="Q11" s="53">
        <f>SUM(M11:P11)</f>
        <v>206</v>
      </c>
    </row>
    <row r="12" spans="1:17" ht="15" customHeight="1" x14ac:dyDescent="0.25">
      <c r="A12" s="386" t="s">
        <v>595</v>
      </c>
      <c r="B12" s="56" t="s">
        <v>596</v>
      </c>
      <c r="C12" s="14"/>
      <c r="D12" s="17" t="s">
        <v>338</v>
      </c>
      <c r="E12" s="17" t="s">
        <v>597</v>
      </c>
      <c r="F12" s="4"/>
      <c r="G12" s="358">
        <v>680.32</v>
      </c>
      <c r="H12" s="56">
        <f t="shared" si="2"/>
        <v>16895.04</v>
      </c>
      <c r="I12" s="56"/>
      <c r="K12" s="370" t="s">
        <v>621</v>
      </c>
      <c r="M12" s="2">
        <v>680.32</v>
      </c>
      <c r="N12" s="56"/>
      <c r="Q12" s="53">
        <f t="shared" ref="Q12:Q14" si="3">SUM(M12:P12)</f>
        <v>680.32</v>
      </c>
    </row>
    <row r="13" spans="1:17" ht="15" customHeight="1" x14ac:dyDescent="0.25">
      <c r="A13" s="386" t="s">
        <v>680</v>
      </c>
      <c r="B13" s="56" t="s">
        <v>679</v>
      </c>
      <c r="C13" s="14"/>
      <c r="D13" s="17" t="s">
        <v>316</v>
      </c>
      <c r="E13" s="17" t="s">
        <v>317</v>
      </c>
      <c r="F13" s="4">
        <v>64.64</v>
      </c>
      <c r="G13" s="358"/>
      <c r="H13" s="56">
        <f t="shared" si="2"/>
        <v>16959.68</v>
      </c>
      <c r="I13" s="56"/>
      <c r="K13" s="172" t="s">
        <v>683</v>
      </c>
      <c r="N13" s="56"/>
      <c r="O13" s="56"/>
      <c r="P13" s="56">
        <v>64.64</v>
      </c>
      <c r="Q13" s="53">
        <f t="shared" si="3"/>
        <v>64.64</v>
      </c>
    </row>
    <row r="14" spans="1:17" ht="15" customHeight="1" x14ac:dyDescent="0.25">
      <c r="A14" s="386"/>
      <c r="B14" s="13"/>
      <c r="C14" s="14"/>
      <c r="D14" s="17"/>
      <c r="E14" s="17"/>
      <c r="F14" s="4"/>
      <c r="G14" s="358"/>
      <c r="H14" s="56">
        <f t="shared" si="2"/>
        <v>16959.68</v>
      </c>
      <c r="I14" s="56"/>
      <c r="K14" s="172"/>
      <c r="N14" s="56">
        <f t="shared" si="1"/>
        <v>0</v>
      </c>
      <c r="Q14" s="53">
        <f t="shared" si="3"/>
        <v>0</v>
      </c>
    </row>
    <row r="15" spans="1:17" ht="15" customHeight="1" thickBot="1" x14ac:dyDescent="0.3">
      <c r="F15" s="50">
        <f>SUM(F6:F14)</f>
        <v>420.37</v>
      </c>
      <c r="G15" s="360">
        <f>SUM(G6:G14)</f>
        <v>2112.77</v>
      </c>
      <c r="H15" s="361">
        <f>SUM(H14)</f>
        <v>16959.68</v>
      </c>
      <c r="I15" s="50">
        <f>SUM(I7:I14)</f>
        <v>0</v>
      </c>
      <c r="J15" s="50">
        <f>SUM(J7:J14)</f>
        <v>0</v>
      </c>
      <c r="K15" s="58"/>
      <c r="L15" s="363"/>
      <c r="M15" s="363">
        <f>SUM(M6:M14)</f>
        <v>2112.77</v>
      </c>
      <c r="N15" s="363">
        <f>SUM(N6:N14)</f>
        <v>220</v>
      </c>
      <c r="P15" s="53">
        <f t="shared" ref="P15:Q15" si="4">SUM(P7:P14)</f>
        <v>200.37</v>
      </c>
      <c r="Q15" s="53">
        <f t="shared" si="4"/>
        <v>1306.6900000000003</v>
      </c>
    </row>
    <row r="16" spans="1:17" ht="15" customHeight="1" thickTop="1" x14ac:dyDescent="0.25">
      <c r="G16" s="362"/>
      <c r="H16" s="363"/>
      <c r="I16" s="363"/>
      <c r="J16" s="363"/>
      <c r="K16" s="58"/>
      <c r="L16" s="363"/>
      <c r="M16" s="363"/>
      <c r="N16" s="363"/>
    </row>
    <row r="17" spans="1:17" s="5" customFormat="1" ht="15" customHeight="1" x14ac:dyDescent="0.25">
      <c r="A17" s="378"/>
      <c r="B17" s="5" t="s">
        <v>10</v>
      </c>
      <c r="D17" s="388"/>
      <c r="E17" s="388"/>
      <c r="F17" s="375">
        <f>SUM(F15-F21)</f>
        <v>200.37</v>
      </c>
      <c r="G17" s="376">
        <f>SUM(G15-G21)</f>
        <v>0</v>
      </c>
      <c r="H17" s="363"/>
      <c r="I17" s="363">
        <f>I15</f>
        <v>0</v>
      </c>
      <c r="J17" s="363">
        <f>J15</f>
        <v>0</v>
      </c>
      <c r="K17" s="57"/>
      <c r="L17" s="363"/>
      <c r="M17" s="363"/>
      <c r="N17" s="363"/>
      <c r="P17" s="364">
        <f t="shared" ref="P17" si="5">SUM(P15)</f>
        <v>200.37</v>
      </c>
      <c r="Q17" s="364">
        <f>SUM(P17:P17)</f>
        <v>200.37</v>
      </c>
    </row>
    <row r="18" spans="1:17" ht="15" customHeight="1" x14ac:dyDescent="0.25">
      <c r="E18" s="389"/>
      <c r="K18" s="58"/>
    </row>
    <row r="19" spans="1:17" s="5" customFormat="1" ht="15" customHeight="1" x14ac:dyDescent="0.25">
      <c r="A19" s="378"/>
      <c r="B19" s="5" t="s">
        <v>11</v>
      </c>
      <c r="D19" s="388"/>
      <c r="E19" s="388"/>
      <c r="F19" s="363"/>
      <c r="G19" s="362"/>
      <c r="H19" s="363"/>
      <c r="I19" s="363"/>
      <c r="J19" s="363"/>
      <c r="K19" s="57"/>
      <c r="L19" s="363"/>
      <c r="M19" s="363"/>
      <c r="N19" s="363"/>
      <c r="P19" s="51" t="s">
        <v>186</v>
      </c>
      <c r="Q19" s="364">
        <f>SUM(Q17)</f>
        <v>200.37</v>
      </c>
    </row>
    <row r="20" spans="1:17" ht="15" customHeight="1" x14ac:dyDescent="0.25"/>
    <row r="21" spans="1:17" s="355" customFormat="1" ht="15" customHeight="1" x14ac:dyDescent="0.25">
      <c r="A21" s="377"/>
      <c r="B21" s="1"/>
      <c r="C21" s="1"/>
      <c r="D21" s="339"/>
      <c r="E21" s="339" t="s">
        <v>494</v>
      </c>
      <c r="F21" s="363">
        <f>SUM(F22:F24)</f>
        <v>220</v>
      </c>
      <c r="G21" s="362">
        <f>SUM(G22:G25)</f>
        <v>2112.77</v>
      </c>
      <c r="H21" s="2"/>
      <c r="I21" s="2"/>
      <c r="J21" s="2"/>
      <c r="K21" s="8"/>
      <c r="L21" s="2"/>
      <c r="M21" s="2"/>
      <c r="N21" s="2"/>
      <c r="P21" s="53"/>
      <c r="Q21" s="1"/>
    </row>
    <row r="22" spans="1:17" x14ac:dyDescent="0.25">
      <c r="F22" s="2">
        <v>220</v>
      </c>
      <c r="G22" s="356">
        <v>206.45</v>
      </c>
    </row>
    <row r="23" spans="1:17" x14ac:dyDescent="0.25">
      <c r="G23" s="356">
        <v>1020</v>
      </c>
    </row>
    <row r="24" spans="1:17" x14ac:dyDescent="0.25">
      <c r="G24" s="356">
        <v>206</v>
      </c>
    </row>
    <row r="25" spans="1:17" x14ac:dyDescent="0.25">
      <c r="G25" s="356">
        <v>680.32</v>
      </c>
    </row>
  </sheetData>
  <conditionalFormatting sqref="F6">
    <cfRule type="expression" dxfId="13" priority="254">
      <formula>LEFT($A6,1)="R"</formula>
    </cfRule>
    <cfRule type="expression" dxfId="12" priority="255">
      <formula>AND($AP6&lt;&gt;$F6,$BB6&lt;&gt;$F6)</formula>
    </cfRule>
  </conditionalFormatting>
  <conditionalFormatting sqref="F10:F14">
    <cfRule type="expression" dxfId="11" priority="256">
      <formula>AND(#REF!&lt;&gt;$F10,$Q10&lt;&gt;$F10)</formula>
    </cfRule>
  </conditionalFormatting>
  <conditionalFormatting sqref="H10">
    <cfRule type="expression" dxfId="10" priority="6">
      <formula>LEFT($A10,1)="R"</formula>
    </cfRule>
  </conditionalFormatting>
  <conditionalFormatting sqref="H13">
    <cfRule type="expression" dxfId="9" priority="2">
      <formula>LEFT($A13,1)="R"</formula>
    </cfRule>
  </conditionalFormatting>
  <conditionalFormatting sqref="I10:M14">
    <cfRule type="expression" dxfId="8" priority="3">
      <formula>LEFT($A10,1)="R"</formula>
    </cfRule>
  </conditionalFormatting>
  <conditionalFormatting sqref="K6:K8 A7:M9 P7:XFD9 P7:Q11 A10:G14 P12 Q12:Q14 P14">
    <cfRule type="expression" dxfId="7" priority="14">
      <formula>LEFT($A6,1)="R"</formula>
    </cfRule>
  </conditionalFormatting>
  <conditionalFormatting sqref="N7:O7">
    <cfRule type="expression" dxfId="6" priority="9">
      <formula>LEFT($A7,1)="R"</formula>
    </cfRule>
  </conditionalFormatting>
  <conditionalFormatting sqref="N9:O10">
    <cfRule type="expression" dxfId="5" priority="7">
      <formula>LEFT($A9,1)="R"</formula>
    </cfRule>
  </conditionalFormatting>
  <conditionalFormatting sqref="N13:P13">
    <cfRule type="expression" dxfId="4" priority="1">
      <formula>LEFT($A13,1)="R"</formula>
    </cfRule>
  </conditionalFormatting>
  <dataValidations count="1">
    <dataValidation type="list" allowBlank="1" showInputMessage="1" showErrorMessage="1" sqref="I7:I13" xr:uid="{B65442B9-9390-490A-9A4F-FBFD2003CC06}">
      <formula1>"BACS, DD, CHQ, SO"</formula1>
    </dataValidation>
  </dataValidations>
  <pageMargins left="0.70866141732283472" right="0.70866141732283472" top="0.74803149606299213" bottom="0.74803149606299213" header="0.31496062992125984" footer="0.31496062992125984"/>
  <pageSetup paperSize="9" scale="67" fitToHeight="0" orientation="landscape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I40"/>
  <sheetViews>
    <sheetView topLeftCell="A13" zoomScale="80" zoomScaleNormal="80" workbookViewId="0">
      <selection activeCell="D25" sqref="D25"/>
    </sheetView>
  </sheetViews>
  <sheetFormatPr defaultColWidth="8.7109375" defaultRowHeight="15.75" x14ac:dyDescent="0.25"/>
  <cols>
    <col min="1" max="1" width="54.140625" style="65" customWidth="1"/>
    <col min="2" max="2" width="13.42578125" style="65" customWidth="1"/>
    <col min="3" max="3" width="19.140625" style="77" bestFit="1" customWidth="1"/>
    <col min="4" max="4" width="15.5703125" style="67" customWidth="1"/>
    <col min="5" max="5" width="17.28515625" style="65" customWidth="1"/>
    <col min="6" max="6" width="52.85546875" style="65" customWidth="1"/>
    <col min="7" max="7" width="8.7109375" style="65"/>
    <col min="8" max="8" width="21.5703125" style="65" customWidth="1"/>
    <col min="9" max="9" width="17.7109375" style="65" customWidth="1"/>
    <col min="10" max="16384" width="8.7109375" style="65"/>
  </cols>
  <sheetData>
    <row r="1" spans="1:4" x14ac:dyDescent="0.25">
      <c r="A1" s="436" t="s">
        <v>134</v>
      </c>
      <c r="B1" s="436"/>
      <c r="C1" s="436"/>
      <c r="D1" s="436"/>
    </row>
    <row r="2" spans="1:4" x14ac:dyDescent="0.25">
      <c r="A2" s="436" t="s">
        <v>92</v>
      </c>
      <c r="B2" s="436"/>
      <c r="C2" s="436"/>
      <c r="D2" s="436"/>
    </row>
    <row r="4" spans="1:4" x14ac:dyDescent="0.25">
      <c r="A4" s="66" t="s">
        <v>169</v>
      </c>
      <c r="B4" s="66"/>
      <c r="C4" s="67"/>
    </row>
    <row r="5" spans="1:4" x14ac:dyDescent="0.25">
      <c r="A5" s="68"/>
      <c r="B5" s="68"/>
      <c r="C5" s="67"/>
    </row>
    <row r="6" spans="1:4" x14ac:dyDescent="0.25">
      <c r="A6" s="68" t="s">
        <v>49</v>
      </c>
      <c r="B6" s="68"/>
      <c r="C6" s="69">
        <v>45747</v>
      </c>
    </row>
    <row r="7" spans="1:4" x14ac:dyDescent="0.25">
      <c r="A7" s="68"/>
      <c r="B7" s="68"/>
      <c r="C7" s="67"/>
    </row>
    <row r="8" spans="1:4" x14ac:dyDescent="0.25">
      <c r="A8" s="176" t="s">
        <v>128</v>
      </c>
      <c r="B8" s="266">
        <v>45646</v>
      </c>
      <c r="C8" s="67"/>
    </row>
    <row r="9" spans="1:4" x14ac:dyDescent="0.25">
      <c r="A9" s="70"/>
      <c r="B9" s="70"/>
      <c r="C9" s="67"/>
    </row>
    <row r="10" spans="1:4" x14ac:dyDescent="0.25">
      <c r="A10" s="68" t="s">
        <v>48</v>
      </c>
      <c r="B10" s="68"/>
      <c r="C10" s="71">
        <v>7038.33</v>
      </c>
    </row>
    <row r="11" spans="1:4" x14ac:dyDescent="0.25">
      <c r="A11" s="68" t="s">
        <v>131</v>
      </c>
      <c r="B11" s="68"/>
      <c r="C11" s="71">
        <v>16959.68</v>
      </c>
    </row>
    <row r="12" spans="1:4" x14ac:dyDescent="0.25">
      <c r="A12" s="68"/>
      <c r="B12" s="68"/>
      <c r="C12" s="72"/>
      <c r="D12" s="67">
        <f>SUM(C10:C11)</f>
        <v>23998.010000000002</v>
      </c>
    </row>
    <row r="13" spans="1:4" x14ac:dyDescent="0.25">
      <c r="A13" s="68"/>
      <c r="B13" s="68"/>
      <c r="C13" s="67"/>
    </row>
    <row r="14" spans="1:4" x14ac:dyDescent="0.25">
      <c r="A14" s="68" t="s">
        <v>22</v>
      </c>
      <c r="B14" s="68"/>
      <c r="C14" s="67"/>
    </row>
    <row r="15" spans="1:4" x14ac:dyDescent="0.25">
      <c r="A15" s="68" t="s">
        <v>23</v>
      </c>
      <c r="B15" s="73"/>
      <c r="C15" s="74">
        <v>0</v>
      </c>
    </row>
    <row r="16" spans="1:4" x14ac:dyDescent="0.25">
      <c r="A16" s="68"/>
      <c r="B16" s="68"/>
      <c r="C16" s="68"/>
    </row>
    <row r="17" spans="1:4" x14ac:dyDescent="0.25">
      <c r="A17" s="68"/>
      <c r="B17" s="73"/>
      <c r="C17" s="74"/>
    </row>
    <row r="18" spans="1:4" x14ac:dyDescent="0.25">
      <c r="A18" s="68"/>
      <c r="B18" s="68"/>
      <c r="C18" s="72"/>
      <c r="D18" s="67">
        <f>SUM(C14:C17)</f>
        <v>0</v>
      </c>
    </row>
    <row r="19" spans="1:4" x14ac:dyDescent="0.25">
      <c r="A19" s="68"/>
      <c r="B19" s="68"/>
      <c r="C19" s="67"/>
    </row>
    <row r="20" spans="1:4" ht="16.5" thickBot="1" x14ac:dyDescent="0.3">
      <c r="A20" s="175" t="s">
        <v>129</v>
      </c>
      <c r="B20" s="267">
        <f>SUM(B8)</f>
        <v>45646</v>
      </c>
      <c r="C20" s="67"/>
      <c r="D20" s="75">
        <f>+D12-D18</f>
        <v>23998.010000000002</v>
      </c>
    </row>
    <row r="21" spans="1:4" ht="16.5" thickTop="1" x14ac:dyDescent="0.25">
      <c r="A21" s="68"/>
      <c r="B21" s="68"/>
      <c r="C21" s="67"/>
    </row>
    <row r="22" spans="1:4" x14ac:dyDescent="0.25">
      <c r="A22" s="68"/>
      <c r="B22" s="68"/>
      <c r="C22" s="67"/>
      <c r="D22" s="76"/>
    </row>
    <row r="23" spans="1:4" x14ac:dyDescent="0.25">
      <c r="A23" s="66" t="s">
        <v>24</v>
      </c>
      <c r="B23" s="68"/>
      <c r="C23" s="67"/>
      <c r="D23" s="76"/>
    </row>
    <row r="24" spans="1:4" x14ac:dyDescent="0.25">
      <c r="A24" s="68"/>
      <c r="B24" s="68"/>
      <c r="C24" s="67"/>
      <c r="D24" s="76"/>
    </row>
    <row r="25" spans="1:4" x14ac:dyDescent="0.25">
      <c r="A25" s="68" t="s">
        <v>170</v>
      </c>
      <c r="B25" s="68"/>
      <c r="C25" s="67"/>
      <c r="D25" s="167">
        <v>7260.44</v>
      </c>
    </row>
    <row r="26" spans="1:4" x14ac:dyDescent="0.25">
      <c r="A26" s="68" t="s">
        <v>171</v>
      </c>
      <c r="B26" s="68"/>
      <c r="C26" s="67"/>
      <c r="D26" s="167">
        <v>18652.080000000002</v>
      </c>
    </row>
    <row r="27" spans="1:4" x14ac:dyDescent="0.25">
      <c r="A27" s="66" t="s">
        <v>93</v>
      </c>
      <c r="B27" s="66"/>
      <c r="C27" s="76"/>
      <c r="D27" s="169">
        <f>SUM(D25:D26)</f>
        <v>25912.52</v>
      </c>
    </row>
    <row r="28" spans="1:4" x14ac:dyDescent="0.25">
      <c r="A28" s="68" t="s">
        <v>483</v>
      </c>
      <c r="B28" s="68"/>
      <c r="C28" s="67"/>
      <c r="D28" s="71">
        <f>SUM('Bank Account'!F171)</f>
        <v>26746.140000000003</v>
      </c>
    </row>
    <row r="29" spans="1:4" x14ac:dyDescent="0.25">
      <c r="A29" s="68" t="s">
        <v>493</v>
      </c>
      <c r="B29" s="68"/>
      <c r="C29" s="67"/>
      <c r="D29" s="71">
        <f>SUM(Reserves!F15)</f>
        <v>420.37</v>
      </c>
    </row>
    <row r="30" spans="1:4" x14ac:dyDescent="0.25">
      <c r="A30" s="68" t="s">
        <v>484</v>
      </c>
      <c r="B30" s="68"/>
      <c r="C30" s="67"/>
      <c r="D30" s="71">
        <f>SUM('Bank Account'!G171)</f>
        <v>26968.25</v>
      </c>
    </row>
    <row r="31" spans="1:4" x14ac:dyDescent="0.25">
      <c r="A31" s="68" t="s">
        <v>485</v>
      </c>
      <c r="B31" s="68"/>
      <c r="C31" s="67"/>
      <c r="D31" s="71">
        <f>SUM(Reserves!G15)</f>
        <v>2112.77</v>
      </c>
    </row>
    <row r="32" spans="1:4" x14ac:dyDescent="0.25">
      <c r="A32" s="68"/>
      <c r="B32" s="68"/>
      <c r="C32" s="67"/>
      <c r="D32" s="76"/>
    </row>
    <row r="33" spans="1:9" s="68" customFormat="1" ht="16.5" thickBot="1" x14ac:dyDescent="0.3">
      <c r="A33" s="175" t="s">
        <v>130</v>
      </c>
      <c r="B33" s="268">
        <f>SUM(B8)</f>
        <v>45646</v>
      </c>
      <c r="C33" s="67"/>
      <c r="D33" s="75">
        <f>+D27+D28+D29-D30-D31</f>
        <v>23998.010000000006</v>
      </c>
      <c r="F33" s="65"/>
      <c r="G33" s="65"/>
      <c r="H33" s="65"/>
      <c r="I33" s="65"/>
    </row>
    <row r="34" spans="1:9" ht="16.5" thickTop="1" x14ac:dyDescent="0.25"/>
    <row r="35" spans="1:9" x14ac:dyDescent="0.25">
      <c r="A35" s="68"/>
      <c r="B35" s="68"/>
    </row>
    <row r="36" spans="1:9" x14ac:dyDescent="0.25">
      <c r="A36" s="68"/>
      <c r="B36" s="68"/>
      <c r="D36" s="67">
        <f>D33-D20</f>
        <v>0</v>
      </c>
    </row>
    <row r="37" spans="1:9" x14ac:dyDescent="0.25">
      <c r="A37" s="68"/>
      <c r="B37" s="68"/>
    </row>
    <row r="40" spans="1:9" x14ac:dyDescent="0.25">
      <c r="A40" s="66"/>
      <c r="B40" s="66"/>
    </row>
  </sheetData>
  <mergeCells count="2">
    <mergeCell ref="A1:D1"/>
    <mergeCell ref="A2:D2"/>
  </mergeCells>
  <pageMargins left="0.70866141732283472" right="0.70866141732283472" top="0.74803149606299213" bottom="0.74803149606299213" header="0.31496062992125984" footer="0.31496062992125984"/>
  <pageSetup paperSize="9" scale="88" orientation="portrait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>
    <pageSetUpPr fitToPage="1"/>
  </sheetPr>
  <dimension ref="A1:S277"/>
  <sheetViews>
    <sheetView topLeftCell="A40" zoomScale="90" zoomScaleNormal="90" workbookViewId="0">
      <selection activeCell="D25" sqref="D25"/>
    </sheetView>
  </sheetViews>
  <sheetFormatPr defaultColWidth="12.5703125" defaultRowHeight="18.75" x14ac:dyDescent="0.3"/>
  <cols>
    <col min="1" max="1" width="43" style="18" customWidth="1"/>
    <col min="2" max="2" width="17.28515625" style="11" customWidth="1"/>
    <col min="3" max="3" width="16.28515625" style="46" bestFit="1" customWidth="1"/>
    <col min="4" max="4" width="16" style="47" bestFit="1" customWidth="1"/>
    <col min="5" max="6" width="12.5703125" style="29"/>
    <col min="7" max="7" width="14.28515625" style="28" bestFit="1" customWidth="1"/>
    <col min="8" max="8" width="14.28515625" style="28" hidden="1" customWidth="1"/>
    <col min="9" max="9" width="14.28515625" style="28" customWidth="1"/>
    <col min="10" max="10" width="12.7109375" style="28" bestFit="1" customWidth="1"/>
    <col min="11" max="11" width="10.5703125" style="28" bestFit="1" customWidth="1"/>
    <col min="12" max="12" width="13.85546875" style="28" customWidth="1"/>
    <col min="13" max="13" width="10.5703125" style="28" bestFit="1" customWidth="1"/>
    <col min="14" max="14" width="13.42578125" style="28" customWidth="1"/>
    <col min="15" max="15" width="12.7109375" style="28" customWidth="1"/>
    <col min="16" max="16" width="10.5703125" style="28" bestFit="1" customWidth="1"/>
    <col min="17" max="17" width="12.7109375" style="28" bestFit="1" customWidth="1"/>
    <col min="18" max="18" width="11.85546875" style="28" bestFit="1" customWidth="1"/>
    <col min="19" max="19" width="11.5703125" style="28" customWidth="1"/>
    <col min="20" max="20" width="15.7109375" style="18" bestFit="1" customWidth="1"/>
    <col min="21" max="21" width="10.5703125" style="18" bestFit="1" customWidth="1"/>
    <col min="22" max="16384" width="12.5703125" style="18"/>
  </cols>
  <sheetData>
    <row r="1" spans="1:19" s="26" customFormat="1" x14ac:dyDescent="0.3">
      <c r="A1" s="437" t="s">
        <v>134</v>
      </c>
      <c r="B1" s="437"/>
      <c r="C1" s="437"/>
      <c r="D1" s="437"/>
      <c r="E1" s="25"/>
      <c r="F1" s="25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19" s="26" customFormat="1" x14ac:dyDescent="0.3">
      <c r="A2" s="437" t="s">
        <v>172</v>
      </c>
      <c r="B2" s="437"/>
      <c r="C2" s="437"/>
      <c r="D2" s="437"/>
      <c r="E2" s="25"/>
      <c r="F2" s="25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s="26" customFormat="1" x14ac:dyDescent="0.3">
      <c r="A3" s="438"/>
      <c r="B3" s="438"/>
      <c r="C3" s="438"/>
      <c r="D3" s="438"/>
      <c r="E3" s="25"/>
      <c r="F3" s="25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19" s="26" customFormat="1" x14ac:dyDescent="0.3">
      <c r="A4" s="52"/>
      <c r="B4" s="9" t="s">
        <v>150</v>
      </c>
      <c r="C4" s="46" t="s">
        <v>25</v>
      </c>
      <c r="D4" s="78" t="s">
        <v>83</v>
      </c>
      <c r="E4" s="25"/>
      <c r="F4" s="25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</row>
    <row r="5" spans="1:19" s="26" customFormat="1" x14ac:dyDescent="0.3">
      <c r="A5" s="27" t="s">
        <v>26</v>
      </c>
      <c r="B5" s="10"/>
      <c r="C5" s="79" t="s">
        <v>150</v>
      </c>
      <c r="D5" s="80"/>
      <c r="E5" s="25"/>
      <c r="F5" s="25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x14ac:dyDescent="0.3">
      <c r="A6" s="30" t="s">
        <v>6</v>
      </c>
      <c r="B6" s="11">
        <f>SUM('2024-25 Running'!I6)</f>
        <v>12500</v>
      </c>
      <c r="C6" s="46">
        <f>SUM('2024-25 Running'!E6)</f>
        <v>12500</v>
      </c>
      <c r="D6" s="81">
        <f>SUM('2024-25 Running'!A6)</f>
        <v>11100</v>
      </c>
    </row>
    <row r="7" spans="1:19" x14ac:dyDescent="0.3">
      <c r="A7" s="30" t="s">
        <v>179</v>
      </c>
      <c r="B7" s="11">
        <f>SUM('2024-25 Running'!I7)</f>
        <v>220</v>
      </c>
      <c r="C7" s="46">
        <f>SUM('2024-25 Running'!E7)</f>
        <v>20</v>
      </c>
      <c r="D7" s="81">
        <f>SUM('2024-25 Running'!A7)</f>
        <v>0</v>
      </c>
    </row>
    <row r="8" spans="1:19" x14ac:dyDescent="0.3">
      <c r="A8" s="30" t="s">
        <v>133</v>
      </c>
      <c r="B8" s="11">
        <f>SUM('2024-25 Running'!I8)</f>
        <v>0</v>
      </c>
      <c r="C8" s="46">
        <f>SUM('2024-25 Running'!E8)</f>
        <v>0</v>
      </c>
      <c r="D8" s="81">
        <f>SUM('2024-25 Running'!A8)</f>
        <v>500</v>
      </c>
    </row>
    <row r="9" spans="1:19" x14ac:dyDescent="0.3">
      <c r="A9" s="30" t="s">
        <v>145</v>
      </c>
      <c r="B9" s="11">
        <f>SUM('2024-25 Running'!I9)</f>
        <v>0</v>
      </c>
      <c r="C9" s="46">
        <f>SUM('2024-25 Running'!E9)</f>
        <v>500</v>
      </c>
      <c r="D9" s="81">
        <f>SUM('2024-25 Running'!A9)</f>
        <v>0</v>
      </c>
    </row>
    <row r="10" spans="1:19" x14ac:dyDescent="0.3">
      <c r="A10" s="30" t="s">
        <v>53</v>
      </c>
      <c r="B10" s="11">
        <f>SUM('2024-25 Running'!I10)</f>
        <v>474.33</v>
      </c>
      <c r="C10" s="46">
        <f>SUM('2024-25 Running'!E10)</f>
        <v>150</v>
      </c>
      <c r="D10" s="81">
        <f>SUM('2024-25 Running'!A10)</f>
        <v>204.15</v>
      </c>
    </row>
    <row r="11" spans="1:19" x14ac:dyDescent="0.3">
      <c r="A11" s="30" t="s">
        <v>7</v>
      </c>
      <c r="B11" s="11">
        <f>SUM('2024-25 Running'!I12)</f>
        <v>200.37</v>
      </c>
      <c r="C11" s="46">
        <f>SUM('2024-25 Running'!E12)</f>
        <v>140</v>
      </c>
      <c r="D11" s="81">
        <f>SUM('2024-25 Running'!A12)</f>
        <v>203.54</v>
      </c>
    </row>
    <row r="12" spans="1:19" x14ac:dyDescent="0.3">
      <c r="A12" s="30" t="s">
        <v>119</v>
      </c>
      <c r="B12" s="11">
        <f>SUM('2024-25 Running'!I13)</f>
        <v>2931.11</v>
      </c>
      <c r="C12" s="46">
        <f>SUM('2024-25 Running'!E13)</f>
        <v>0</v>
      </c>
      <c r="D12" s="81">
        <f>SUM('2024-25 Running'!A13)</f>
        <v>2056.96</v>
      </c>
      <c r="G12" s="28">
        <v>1226.45</v>
      </c>
      <c r="I12" s="28" t="s">
        <v>492</v>
      </c>
    </row>
    <row r="13" spans="1:19" x14ac:dyDescent="0.3">
      <c r="A13" s="30" t="s">
        <v>146</v>
      </c>
      <c r="B13" s="11">
        <f>SUM('Hall 2024-25 Running'!I6)</f>
        <v>1564</v>
      </c>
      <c r="C13" s="46">
        <f>SUM('Hall 2024-25 Running'!E6)</f>
        <v>5700</v>
      </c>
      <c r="D13" s="81">
        <f>SUM('Hall 2024-25 Running'!A6)</f>
        <v>0</v>
      </c>
    </row>
    <row r="14" spans="1:19" x14ac:dyDescent="0.3">
      <c r="A14" s="30" t="s">
        <v>149</v>
      </c>
      <c r="B14" s="11">
        <f>SUM('Hall 2024-25 Running'!I7)</f>
        <v>3967.25</v>
      </c>
      <c r="C14" s="46">
        <f>SUM('Hall 2024-25 Running'!E7)</f>
        <v>3050</v>
      </c>
      <c r="D14" s="81">
        <f>SUM('Hall 2024-25 Running'!A7)</f>
        <v>0</v>
      </c>
    </row>
    <row r="15" spans="1:19" x14ac:dyDescent="0.3">
      <c r="A15" s="30" t="s">
        <v>147</v>
      </c>
      <c r="B15" s="11">
        <f>SUM('Hall 2024-25 Running'!I8)</f>
        <v>370</v>
      </c>
      <c r="C15" s="46">
        <f>SUM('Hall 2024-25 Running'!E8)</f>
        <v>150</v>
      </c>
      <c r="D15" s="81">
        <f>SUM('Hall 2024-25 Running'!A8)</f>
        <v>0</v>
      </c>
    </row>
    <row r="16" spans="1:19" x14ac:dyDescent="0.3">
      <c r="A16" s="30" t="s">
        <v>180</v>
      </c>
      <c r="B16" s="11">
        <f>SUM('Hall 2024-25 Running'!I9)</f>
        <v>2606.6799999999998</v>
      </c>
      <c r="C16" s="46">
        <f>SUM('Hall 2024-25 Running'!E9)</f>
        <v>3875</v>
      </c>
      <c r="D16" s="81">
        <f>SUM('Hall 2024-25 Running'!A9)</f>
        <v>0</v>
      </c>
    </row>
    <row r="17" spans="1:19" s="26" customFormat="1" ht="19.5" thickBot="1" x14ac:dyDescent="0.35">
      <c r="A17" s="27" t="s">
        <v>27</v>
      </c>
      <c r="B17" s="12">
        <f>SUM(B6:B16)</f>
        <v>24833.74</v>
      </c>
      <c r="C17" s="82">
        <f>SUM(C6:C16)</f>
        <v>26085</v>
      </c>
      <c r="D17" s="170">
        <f>SUM(D6:D16)</f>
        <v>14064.650000000001</v>
      </c>
      <c r="E17" s="25"/>
      <c r="F17" s="25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</row>
    <row r="18" spans="1:19" ht="19.5" thickTop="1" x14ac:dyDescent="0.3"/>
    <row r="19" spans="1:19" s="26" customFormat="1" x14ac:dyDescent="0.3">
      <c r="A19" s="31" t="s">
        <v>28</v>
      </c>
      <c r="B19" s="10"/>
      <c r="C19" s="83"/>
      <c r="D19" s="80"/>
      <c r="E19" s="25"/>
      <c r="F19" s="25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</row>
    <row r="20" spans="1:19" x14ac:dyDescent="0.3">
      <c r="A20" s="30" t="s">
        <v>17</v>
      </c>
      <c r="B20" s="45">
        <f>SUM('2024-25 Running'!I17)</f>
        <v>4157.920000000001</v>
      </c>
      <c r="C20" s="46">
        <f>SUM('2024-25 Running'!E17)</f>
        <v>6067</v>
      </c>
      <c r="D20" s="46">
        <f>SUM('2024-25 Running'!A17)</f>
        <v>5456.64</v>
      </c>
    </row>
    <row r="21" spans="1:19" x14ac:dyDescent="0.3">
      <c r="A21" s="30" t="s">
        <v>181</v>
      </c>
      <c r="B21" s="45">
        <f>SUM('2024-25 Running'!I18)</f>
        <v>208</v>
      </c>
      <c r="C21" s="46">
        <f>SUM('2024-25 Running'!E18)</f>
        <v>312</v>
      </c>
      <c r="D21" s="46">
        <f>SUM('2024-25 Running'!A18)</f>
        <v>312</v>
      </c>
    </row>
    <row r="22" spans="1:19" x14ac:dyDescent="0.3">
      <c r="A22" s="30" t="s">
        <v>182</v>
      </c>
      <c r="B22" s="45">
        <f>SUM('2024-25 Running'!I19)</f>
        <v>176.97000000000003</v>
      </c>
      <c r="C22" s="46">
        <f>SUM('2024-25 Running'!E19)</f>
        <v>202</v>
      </c>
      <c r="D22" s="46">
        <f>SUM('2024-25 Running'!A19)</f>
        <v>167.54</v>
      </c>
    </row>
    <row r="23" spans="1:19" x14ac:dyDescent="0.3">
      <c r="A23" s="30" t="s">
        <v>156</v>
      </c>
      <c r="B23" s="45">
        <f>SUM('2024-25 Running'!I20)</f>
        <v>234</v>
      </c>
      <c r="C23" s="46">
        <f>SUM('2024-25 Running'!E20)</f>
        <v>170</v>
      </c>
      <c r="D23" s="46">
        <f>SUM('2024-25 Running'!A20)</f>
        <v>334</v>
      </c>
    </row>
    <row r="24" spans="1:19" x14ac:dyDescent="0.3">
      <c r="A24" s="30" t="s">
        <v>157</v>
      </c>
      <c r="B24" s="45">
        <f>SUM('2024-25 Running'!I21)</f>
        <v>0</v>
      </c>
      <c r="C24" s="46">
        <f>SUM('2024-25 Running'!E21)</f>
        <v>60</v>
      </c>
      <c r="D24" s="46">
        <f>SUM('2024-25 Running'!A21)</f>
        <v>86.3</v>
      </c>
    </row>
    <row r="25" spans="1:19" x14ac:dyDescent="0.3">
      <c r="A25" s="30" t="s">
        <v>158</v>
      </c>
      <c r="B25" s="45">
        <f>SUM('2024-25 Running'!I22)</f>
        <v>86</v>
      </c>
      <c r="C25" s="46">
        <f>SUM('2024-25 Running'!E22)</f>
        <v>110</v>
      </c>
      <c r="D25" s="46">
        <f>SUM('2024-25 Running'!A22)</f>
        <v>215</v>
      </c>
    </row>
    <row r="26" spans="1:19" x14ac:dyDescent="0.3">
      <c r="A26" s="30" t="s">
        <v>52</v>
      </c>
      <c r="B26" s="45">
        <f>SUM('2024-25 Running'!I23)</f>
        <v>273</v>
      </c>
      <c r="C26" s="46">
        <f>SUM('2024-25 Running'!E23)</f>
        <v>270</v>
      </c>
      <c r="D26" s="46">
        <f>SUM('2024-25 Running'!A23)</f>
        <v>250.5</v>
      </c>
    </row>
    <row r="27" spans="1:19" x14ac:dyDescent="0.3">
      <c r="A27" s="30" t="s">
        <v>168</v>
      </c>
      <c r="B27" s="45">
        <f>SUM('2024-25 Running'!I24)</f>
        <v>0</v>
      </c>
      <c r="C27" s="46">
        <f>SUM('2024-25 Running'!E24)</f>
        <v>85</v>
      </c>
      <c r="D27" s="46">
        <f>SUM('2024-25 Running'!A24)</f>
        <v>49.99</v>
      </c>
    </row>
    <row r="28" spans="1:19" x14ac:dyDescent="0.3">
      <c r="A28" s="30" t="s">
        <v>183</v>
      </c>
      <c r="B28" s="45">
        <f>SUM('2024-25 Running'!I25)</f>
        <v>685.92</v>
      </c>
      <c r="C28" s="46">
        <f>SUM('2024-25 Running'!E25)</f>
        <v>350</v>
      </c>
      <c r="D28" s="46">
        <f>SUM('2024-25 Running'!A25)</f>
        <v>222.83</v>
      </c>
    </row>
    <row r="29" spans="1:19" x14ac:dyDescent="0.3">
      <c r="A29" s="30" t="s">
        <v>160</v>
      </c>
      <c r="B29" s="45">
        <f>SUM('2024-25 Running'!I26)</f>
        <v>513.64</v>
      </c>
      <c r="C29" s="46">
        <f>SUM('2024-25 Running'!E26)</f>
        <v>125</v>
      </c>
      <c r="D29" s="46">
        <f>SUM('2024-25 Running'!A26)</f>
        <v>118.03</v>
      </c>
    </row>
    <row r="30" spans="1:19" x14ac:dyDescent="0.3">
      <c r="A30" s="30" t="s">
        <v>161</v>
      </c>
      <c r="B30" s="45">
        <f>SUM('2024-25 Running'!I27)</f>
        <v>61.94</v>
      </c>
      <c r="C30" s="46">
        <f>SUM('2024-25 Running'!E27)</f>
        <v>70</v>
      </c>
      <c r="D30" s="46">
        <f>SUM('2024-25 Running'!A27)</f>
        <v>61.94</v>
      </c>
    </row>
    <row r="31" spans="1:19" x14ac:dyDescent="0.3">
      <c r="A31" s="30" t="s">
        <v>162</v>
      </c>
      <c r="B31" s="45">
        <f>SUM('2024-25 Running'!I28)</f>
        <v>92</v>
      </c>
      <c r="C31" s="46">
        <f>SUM('2024-25 Running'!E28)</f>
        <v>200</v>
      </c>
      <c r="D31" s="46">
        <f>SUM('2024-25 Running'!A28)</f>
        <v>92</v>
      </c>
    </row>
    <row r="32" spans="1:19" x14ac:dyDescent="0.3">
      <c r="A32" s="30" t="s">
        <v>73</v>
      </c>
      <c r="B32" s="45">
        <f>SUM('2024-25 Running'!I29)</f>
        <v>75</v>
      </c>
      <c r="C32" s="46">
        <f>SUM('2024-25 Running'!E29)</f>
        <v>75</v>
      </c>
      <c r="D32" s="46">
        <f>SUM('2024-25 Running'!A29)</f>
        <v>70</v>
      </c>
    </row>
    <row r="33" spans="1:19" x14ac:dyDescent="0.3">
      <c r="A33" s="30" t="s">
        <v>72</v>
      </c>
      <c r="B33" s="45">
        <f>SUM('2024-25 Running'!I30)</f>
        <v>210</v>
      </c>
      <c r="C33" s="46">
        <f>SUM('2024-25 Running'!E30)</f>
        <v>210</v>
      </c>
      <c r="D33" s="46">
        <f>SUM('2024-25 Running'!A30)</f>
        <v>0</v>
      </c>
    </row>
    <row r="34" spans="1:19" x14ac:dyDescent="0.3">
      <c r="A34" s="30" t="s">
        <v>163</v>
      </c>
      <c r="B34" s="45">
        <f>SUM('2024-25 Running'!I31)</f>
        <v>1916.83</v>
      </c>
      <c r="C34" s="46">
        <f>SUM('2024-25 Running'!E31)</f>
        <v>100</v>
      </c>
      <c r="D34" s="46">
        <f>SUM('2024-25 Running'!A31)</f>
        <v>7307.65</v>
      </c>
      <c r="G34" s="100"/>
    </row>
    <row r="35" spans="1:19" x14ac:dyDescent="0.3">
      <c r="A35" s="30" t="s">
        <v>165</v>
      </c>
      <c r="B35" s="45">
        <f>SUM('2024-25 Running'!I32)</f>
        <v>0</v>
      </c>
      <c r="C35" s="46">
        <f>SUM('2024-25 Running'!E32)</f>
        <v>100</v>
      </c>
      <c r="D35" s="46">
        <f>SUM('2024-25 Running'!A32)</f>
        <v>0</v>
      </c>
      <c r="G35" s="100"/>
    </row>
    <row r="36" spans="1:19" x14ac:dyDescent="0.3">
      <c r="A36" s="30" t="s">
        <v>145</v>
      </c>
      <c r="B36" s="45">
        <f>SUM('2024-25 Running'!I33)</f>
        <v>0</v>
      </c>
      <c r="C36" s="46">
        <f>SUM('2024-25 Running'!E33)</f>
        <v>500</v>
      </c>
      <c r="D36" s="46">
        <f>SUM('2024-25 Running'!A33)</f>
        <v>0</v>
      </c>
      <c r="G36" s="100"/>
    </row>
    <row r="37" spans="1:19" x14ac:dyDescent="0.3">
      <c r="A37" s="30" t="s">
        <v>164</v>
      </c>
      <c r="B37" s="45">
        <f>SUM('2024-25 Running'!I34)</f>
        <v>704.67</v>
      </c>
      <c r="C37" s="46">
        <f>SUM('2024-25 Running'!E34)</f>
        <v>400</v>
      </c>
      <c r="D37" s="46">
        <f>SUM('2024-25 Running'!A34)</f>
        <v>129</v>
      </c>
      <c r="G37" s="100"/>
    </row>
    <row r="38" spans="1:19" x14ac:dyDescent="0.3">
      <c r="A38" s="30" t="s">
        <v>19</v>
      </c>
      <c r="B38" s="45">
        <f>SUM('2024-25 Running'!I35)</f>
        <v>783.26</v>
      </c>
      <c r="C38" s="46">
        <f>SUM('2024-25 Running'!E35)</f>
        <v>700</v>
      </c>
      <c r="D38" s="46">
        <f>SUM('2024-25 Running'!A35)</f>
        <v>684.96</v>
      </c>
      <c r="G38" s="100">
        <v>1226.45</v>
      </c>
      <c r="I38" s="28" t="s">
        <v>492</v>
      </c>
    </row>
    <row r="39" spans="1:19" x14ac:dyDescent="0.3">
      <c r="A39" s="30" t="s">
        <v>71</v>
      </c>
      <c r="B39" s="45">
        <f>SUM('2024-25 Running'!I36)</f>
        <v>20</v>
      </c>
      <c r="C39" s="46">
        <f>SUM('2024-25 Running'!E36)</f>
        <v>500</v>
      </c>
      <c r="D39" s="46">
        <f>SUM('2024-25 Running'!A36)</f>
        <v>0</v>
      </c>
      <c r="G39" s="100"/>
    </row>
    <row r="40" spans="1:19" x14ac:dyDescent="0.3">
      <c r="A40" s="30" t="s">
        <v>94</v>
      </c>
      <c r="B40" s="45">
        <f>SUM('2024-25 Running'!I38)</f>
        <v>22.2</v>
      </c>
      <c r="C40" s="46">
        <f>SUM('2024-25 Running'!E38)</f>
        <v>150</v>
      </c>
      <c r="D40" s="46">
        <f>SUM('2024-25 Running'!A38)</f>
        <v>0</v>
      </c>
    </row>
    <row r="41" spans="1:19" x14ac:dyDescent="0.3">
      <c r="A41" s="30" t="s">
        <v>121</v>
      </c>
      <c r="B41" s="45">
        <f>SUM('2024-25 Running'!I39)</f>
        <v>239.99</v>
      </c>
      <c r="C41" s="46">
        <f>SUM('2024-25 Running'!E39)</f>
        <v>500</v>
      </c>
      <c r="D41" s="46">
        <f>SUM('2024-25 Running'!A39)</f>
        <v>200</v>
      </c>
    </row>
    <row r="42" spans="1:19" x14ac:dyDescent="0.3">
      <c r="A42" s="30" t="s">
        <v>184</v>
      </c>
      <c r="B42" s="45">
        <f>SUM('Hall 2024-25 Running'!I13)</f>
        <v>1178.02</v>
      </c>
      <c r="C42" s="46">
        <f>SUM('Hall 2024-25 Running'!E13)</f>
        <v>1600</v>
      </c>
      <c r="D42" s="46">
        <f>SUM('Hall 2024-25 Running'!A13)</f>
        <v>0</v>
      </c>
    </row>
    <row r="43" spans="1:19" x14ac:dyDescent="0.3">
      <c r="A43" s="30" t="s">
        <v>185</v>
      </c>
      <c r="B43" s="45">
        <f>SUM('Hall 2024-25 Running'!I14)</f>
        <v>10105.779999999999</v>
      </c>
      <c r="C43" s="46">
        <f>SUM('Hall 2024-25 Running'!E14)</f>
        <v>10000</v>
      </c>
      <c r="D43" s="46">
        <f>SUM('Hall 2024-25 Running'!A14)</f>
        <v>0</v>
      </c>
    </row>
    <row r="44" spans="1:19" x14ac:dyDescent="0.3">
      <c r="A44" s="30" t="s">
        <v>142</v>
      </c>
      <c r="B44" s="45">
        <f>SUM('Hall 2024-25 Running'!I15)</f>
        <v>64.759999999999991</v>
      </c>
      <c r="C44" s="46">
        <f>SUM('Hall 2024-25 Running'!E15)</f>
        <v>200</v>
      </c>
      <c r="D44" s="46">
        <f>SUM('Hall 2024-25 Running'!A15)</f>
        <v>0</v>
      </c>
    </row>
    <row r="45" spans="1:19" x14ac:dyDescent="0.3">
      <c r="A45" s="30" t="s">
        <v>143</v>
      </c>
      <c r="B45" s="45">
        <f>SUM('Hall 2024-25 Running'!I16)</f>
        <v>617.1</v>
      </c>
      <c r="C45" s="46">
        <f>SUM('Hall 2024-25 Running'!E16)</f>
        <v>300</v>
      </c>
      <c r="D45" s="46">
        <f>SUM('Hall 2024-25 Running'!A16)</f>
        <v>0</v>
      </c>
    </row>
    <row r="46" spans="1:19" x14ac:dyDescent="0.3">
      <c r="A46" s="30" t="s">
        <v>144</v>
      </c>
      <c r="B46" s="45">
        <f>SUM('Hall 2024-25 Running'!I17)</f>
        <v>832.24</v>
      </c>
      <c r="C46" s="46">
        <f>SUM('Hall 2024-25 Running'!E17)</f>
        <v>750</v>
      </c>
      <c r="D46" s="46">
        <f>SUM('Hall 2024-25 Running'!A17)</f>
        <v>0</v>
      </c>
    </row>
    <row r="47" spans="1:19" s="26" customFormat="1" ht="19.5" thickBot="1" x14ac:dyDescent="0.35">
      <c r="B47" s="12">
        <f>SUM(B20:B41)</f>
        <v>10461.340000000002</v>
      </c>
      <c r="C47" s="166">
        <f>SUM(C20:C46)</f>
        <v>24106</v>
      </c>
      <c r="D47" s="171">
        <f>SUM(D20:D46)</f>
        <v>15758.379999999997</v>
      </c>
      <c r="E47" s="25"/>
      <c r="F47" s="25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</row>
    <row r="48" spans="1:19" ht="19.5" thickTop="1" x14ac:dyDescent="0.3"/>
    <row r="49" spans="1:4" x14ac:dyDescent="0.3">
      <c r="B49" s="47">
        <f>SUM('Bank Recon'!D27)</f>
        <v>25912.52</v>
      </c>
    </row>
    <row r="50" spans="1:4" x14ac:dyDescent="0.3">
      <c r="A50" s="30"/>
    </row>
    <row r="51" spans="1:4" x14ac:dyDescent="0.3">
      <c r="A51" s="30"/>
    </row>
    <row r="52" spans="1:4" x14ac:dyDescent="0.3">
      <c r="A52" s="30" t="s">
        <v>26</v>
      </c>
      <c r="B52" s="11">
        <f>+B17</f>
        <v>24833.74</v>
      </c>
      <c r="D52" s="47">
        <f>+D17</f>
        <v>14064.650000000001</v>
      </c>
    </row>
    <row r="53" spans="1:4" x14ac:dyDescent="0.3">
      <c r="A53" s="30" t="s">
        <v>29</v>
      </c>
      <c r="B53" s="11">
        <f>+B47</f>
        <v>10461.340000000002</v>
      </c>
      <c r="D53" s="47">
        <f>+D47</f>
        <v>15758.379999999997</v>
      </c>
    </row>
    <row r="54" spans="1:4" ht="19.5" thickBot="1" x14ac:dyDescent="0.35">
      <c r="A54" s="30" t="s">
        <v>30</v>
      </c>
      <c r="B54" s="12">
        <f>SUM(B49:B52)-B53</f>
        <v>40284.92</v>
      </c>
      <c r="D54" s="84">
        <f>SUM(D49:D52)-D53</f>
        <v>-1693.7299999999959</v>
      </c>
    </row>
    <row r="55" spans="1:4" ht="19.5" thickTop="1" x14ac:dyDescent="0.3"/>
    <row r="56" spans="1:4" x14ac:dyDescent="0.3">
      <c r="A56" s="30" t="s">
        <v>31</v>
      </c>
    </row>
    <row r="57" spans="1:4" x14ac:dyDescent="0.3">
      <c r="A57" s="30" t="s">
        <v>32</v>
      </c>
      <c r="B57" s="11">
        <f>SUM('Bank Recon'!C10)</f>
        <v>7038.33</v>
      </c>
    </row>
    <row r="58" spans="1:4" x14ac:dyDescent="0.3">
      <c r="A58" s="30" t="s">
        <v>131</v>
      </c>
      <c r="B58" s="45">
        <f>'Bank Recon'!C11</f>
        <v>16959.68</v>
      </c>
    </row>
    <row r="59" spans="1:4" x14ac:dyDescent="0.3">
      <c r="A59" s="30" t="s">
        <v>33</v>
      </c>
      <c r="B59" s="45">
        <f>'Bank Recon'!D18</f>
        <v>0</v>
      </c>
      <c r="D59" s="47">
        <v>0</v>
      </c>
    </row>
    <row r="60" spans="1:4" ht="19.5" thickBot="1" x14ac:dyDescent="0.35">
      <c r="A60" s="30"/>
      <c r="B60" s="12">
        <f>SUM(B57:B59)</f>
        <v>23998.010000000002</v>
      </c>
      <c r="D60" s="84">
        <f>SUM(D58:D58)-D59</f>
        <v>0</v>
      </c>
    </row>
    <row r="61" spans="1:4" ht="19.5" thickTop="1" x14ac:dyDescent="0.3">
      <c r="A61" s="30"/>
    </row>
    <row r="62" spans="1:4" x14ac:dyDescent="0.3">
      <c r="A62" s="30" t="s">
        <v>34</v>
      </c>
      <c r="B62" s="11">
        <f>B54-B60</f>
        <v>16286.909999999996</v>
      </c>
    </row>
    <row r="63" spans="1:4" x14ac:dyDescent="0.3">
      <c r="A63" s="30"/>
    </row>
    <row r="64" spans="1:4" x14ac:dyDescent="0.3">
      <c r="A64" s="30"/>
    </row>
    <row r="65" spans="1:1" x14ac:dyDescent="0.3">
      <c r="A65" s="30"/>
    </row>
    <row r="66" spans="1:1" x14ac:dyDescent="0.3">
      <c r="A66" s="30"/>
    </row>
    <row r="67" spans="1:1" x14ac:dyDescent="0.3">
      <c r="A67" s="30"/>
    </row>
    <row r="68" spans="1:1" x14ac:dyDescent="0.3">
      <c r="A68" s="30"/>
    </row>
    <row r="69" spans="1:1" x14ac:dyDescent="0.3">
      <c r="A69" s="30"/>
    </row>
    <row r="70" spans="1:1" x14ac:dyDescent="0.3">
      <c r="A70" s="30"/>
    </row>
    <row r="71" spans="1:1" x14ac:dyDescent="0.3">
      <c r="A71" s="30"/>
    </row>
    <row r="72" spans="1:1" x14ac:dyDescent="0.3">
      <c r="A72" s="30"/>
    </row>
    <row r="73" spans="1:1" x14ac:dyDescent="0.3">
      <c r="A73" s="30"/>
    </row>
    <row r="74" spans="1:1" x14ac:dyDescent="0.3">
      <c r="A74" s="30"/>
    </row>
    <row r="75" spans="1:1" x14ac:dyDescent="0.3">
      <c r="A75" s="30"/>
    </row>
    <row r="76" spans="1:1" x14ac:dyDescent="0.3">
      <c r="A76" s="30"/>
    </row>
    <row r="77" spans="1:1" x14ac:dyDescent="0.3">
      <c r="A77" s="30"/>
    </row>
    <row r="78" spans="1:1" x14ac:dyDescent="0.3">
      <c r="A78" s="30"/>
    </row>
    <row r="79" spans="1:1" x14ac:dyDescent="0.3">
      <c r="A79" s="30"/>
    </row>
    <row r="80" spans="1:1" x14ac:dyDescent="0.3">
      <c r="A80" s="30"/>
    </row>
    <row r="81" spans="1:1" x14ac:dyDescent="0.3">
      <c r="A81" s="30"/>
    </row>
    <row r="82" spans="1:1" x14ac:dyDescent="0.3">
      <c r="A82" s="30"/>
    </row>
    <row r="83" spans="1:1" x14ac:dyDescent="0.3">
      <c r="A83" s="30"/>
    </row>
    <row r="84" spans="1:1" x14ac:dyDescent="0.3">
      <c r="A84" s="30"/>
    </row>
    <row r="85" spans="1:1" x14ac:dyDescent="0.3">
      <c r="A85" s="30"/>
    </row>
    <row r="86" spans="1:1" x14ac:dyDescent="0.3">
      <c r="A86" s="30"/>
    </row>
    <row r="87" spans="1:1" x14ac:dyDescent="0.3">
      <c r="A87" s="30"/>
    </row>
    <row r="88" spans="1:1" x14ac:dyDescent="0.3">
      <c r="A88" s="30"/>
    </row>
    <row r="89" spans="1:1" x14ac:dyDescent="0.3">
      <c r="A89" s="30"/>
    </row>
    <row r="90" spans="1:1" x14ac:dyDescent="0.3">
      <c r="A90" s="30"/>
    </row>
    <row r="91" spans="1:1" x14ac:dyDescent="0.3">
      <c r="A91" s="30"/>
    </row>
    <row r="92" spans="1:1" x14ac:dyDescent="0.3">
      <c r="A92" s="30"/>
    </row>
    <row r="93" spans="1:1" x14ac:dyDescent="0.3">
      <c r="A93" s="30"/>
    </row>
    <row r="94" spans="1:1" x14ac:dyDescent="0.3">
      <c r="A94" s="30"/>
    </row>
    <row r="95" spans="1:1" x14ac:dyDescent="0.3">
      <c r="A95" s="30"/>
    </row>
    <row r="96" spans="1:1" x14ac:dyDescent="0.3">
      <c r="A96" s="30"/>
    </row>
    <row r="97" spans="1:1" x14ac:dyDescent="0.3">
      <c r="A97" s="30"/>
    </row>
    <row r="98" spans="1:1" x14ac:dyDescent="0.3">
      <c r="A98" s="30"/>
    </row>
    <row r="99" spans="1:1" x14ac:dyDescent="0.3">
      <c r="A99" s="30"/>
    </row>
    <row r="100" spans="1:1" x14ac:dyDescent="0.3">
      <c r="A100" s="30"/>
    </row>
    <row r="101" spans="1:1" x14ac:dyDescent="0.3">
      <c r="A101" s="30"/>
    </row>
    <row r="102" spans="1:1" x14ac:dyDescent="0.3">
      <c r="A102" s="30"/>
    </row>
    <row r="103" spans="1:1" x14ac:dyDescent="0.3">
      <c r="A103" s="30"/>
    </row>
    <row r="104" spans="1:1" x14ac:dyDescent="0.3">
      <c r="A104" s="30"/>
    </row>
    <row r="105" spans="1:1" x14ac:dyDescent="0.3">
      <c r="A105" s="30"/>
    </row>
    <row r="106" spans="1:1" x14ac:dyDescent="0.3">
      <c r="A106" s="30"/>
    </row>
    <row r="107" spans="1:1" x14ac:dyDescent="0.3">
      <c r="A107" s="30"/>
    </row>
    <row r="108" spans="1:1" x14ac:dyDescent="0.3">
      <c r="A108" s="30"/>
    </row>
    <row r="109" spans="1:1" x14ac:dyDescent="0.3">
      <c r="A109" s="30"/>
    </row>
    <row r="110" spans="1:1" x14ac:dyDescent="0.3">
      <c r="A110" s="30"/>
    </row>
    <row r="111" spans="1:1" x14ac:dyDescent="0.3">
      <c r="A111" s="30"/>
    </row>
    <row r="112" spans="1:1" x14ac:dyDescent="0.3">
      <c r="A112" s="30"/>
    </row>
    <row r="113" spans="1:1" x14ac:dyDescent="0.3">
      <c r="A113" s="30"/>
    </row>
    <row r="114" spans="1:1" x14ac:dyDescent="0.3">
      <c r="A114" s="30"/>
    </row>
    <row r="115" spans="1:1" x14ac:dyDescent="0.3">
      <c r="A115" s="30"/>
    </row>
    <row r="116" spans="1:1" x14ac:dyDescent="0.3">
      <c r="A116" s="30"/>
    </row>
    <row r="117" spans="1:1" x14ac:dyDescent="0.3">
      <c r="A117" s="30"/>
    </row>
    <row r="118" spans="1:1" x14ac:dyDescent="0.3">
      <c r="A118" s="30"/>
    </row>
    <row r="119" spans="1:1" x14ac:dyDescent="0.3">
      <c r="A119" s="30"/>
    </row>
    <row r="120" spans="1:1" x14ac:dyDescent="0.3">
      <c r="A120" s="30"/>
    </row>
    <row r="121" spans="1:1" x14ac:dyDescent="0.3">
      <c r="A121" s="30"/>
    </row>
    <row r="122" spans="1:1" x14ac:dyDescent="0.3">
      <c r="A122" s="30"/>
    </row>
    <row r="123" spans="1:1" x14ac:dyDescent="0.3">
      <c r="A123" s="30"/>
    </row>
    <row r="124" spans="1:1" x14ac:dyDescent="0.3">
      <c r="A124" s="30"/>
    </row>
    <row r="125" spans="1:1" x14ac:dyDescent="0.3">
      <c r="A125" s="30"/>
    </row>
    <row r="126" spans="1:1" x14ac:dyDescent="0.3">
      <c r="A126" s="30"/>
    </row>
    <row r="127" spans="1:1" x14ac:dyDescent="0.3">
      <c r="A127" s="30"/>
    </row>
    <row r="128" spans="1:1" x14ac:dyDescent="0.3">
      <c r="A128" s="30"/>
    </row>
    <row r="129" spans="1:1" x14ac:dyDescent="0.3">
      <c r="A129" s="30"/>
    </row>
    <row r="130" spans="1:1" x14ac:dyDescent="0.3">
      <c r="A130" s="30"/>
    </row>
    <row r="131" spans="1:1" x14ac:dyDescent="0.3">
      <c r="A131" s="30"/>
    </row>
    <row r="132" spans="1:1" x14ac:dyDescent="0.3">
      <c r="A132" s="30"/>
    </row>
    <row r="133" spans="1:1" x14ac:dyDescent="0.3">
      <c r="A133" s="30"/>
    </row>
    <row r="134" spans="1:1" x14ac:dyDescent="0.3">
      <c r="A134" s="30"/>
    </row>
    <row r="135" spans="1:1" x14ac:dyDescent="0.3">
      <c r="A135" s="30"/>
    </row>
    <row r="136" spans="1:1" x14ac:dyDescent="0.3">
      <c r="A136" s="30"/>
    </row>
    <row r="137" spans="1:1" x14ac:dyDescent="0.3">
      <c r="A137" s="30"/>
    </row>
    <row r="138" spans="1:1" x14ac:dyDescent="0.3">
      <c r="A138" s="30"/>
    </row>
    <row r="139" spans="1:1" x14ac:dyDescent="0.3">
      <c r="A139" s="30"/>
    </row>
    <row r="140" spans="1:1" x14ac:dyDescent="0.3">
      <c r="A140" s="30"/>
    </row>
    <row r="141" spans="1:1" x14ac:dyDescent="0.3">
      <c r="A141" s="30"/>
    </row>
    <row r="142" spans="1:1" x14ac:dyDescent="0.3">
      <c r="A142" s="30"/>
    </row>
    <row r="143" spans="1:1" x14ac:dyDescent="0.3">
      <c r="A143" s="30"/>
    </row>
    <row r="144" spans="1:1" x14ac:dyDescent="0.3">
      <c r="A144" s="30"/>
    </row>
    <row r="145" spans="1:1" x14ac:dyDescent="0.3">
      <c r="A145" s="30"/>
    </row>
    <row r="146" spans="1:1" x14ac:dyDescent="0.3">
      <c r="A146" s="30"/>
    </row>
    <row r="147" spans="1:1" x14ac:dyDescent="0.3">
      <c r="A147" s="30"/>
    </row>
    <row r="148" spans="1:1" x14ac:dyDescent="0.3">
      <c r="A148" s="30"/>
    </row>
    <row r="149" spans="1:1" x14ac:dyDescent="0.3">
      <c r="A149" s="30"/>
    </row>
    <row r="150" spans="1:1" x14ac:dyDescent="0.3">
      <c r="A150" s="30"/>
    </row>
    <row r="151" spans="1:1" x14ac:dyDescent="0.3">
      <c r="A151" s="30"/>
    </row>
    <row r="152" spans="1:1" x14ac:dyDescent="0.3">
      <c r="A152" s="30"/>
    </row>
    <row r="153" spans="1:1" x14ac:dyDescent="0.3">
      <c r="A153" s="30"/>
    </row>
    <row r="154" spans="1:1" x14ac:dyDescent="0.3">
      <c r="A154" s="30"/>
    </row>
    <row r="155" spans="1:1" x14ac:dyDescent="0.3">
      <c r="A155" s="30"/>
    </row>
    <row r="156" spans="1:1" x14ac:dyDescent="0.3">
      <c r="A156" s="30"/>
    </row>
    <row r="157" spans="1:1" x14ac:dyDescent="0.3">
      <c r="A157" s="30"/>
    </row>
    <row r="158" spans="1:1" x14ac:dyDescent="0.3">
      <c r="A158" s="30"/>
    </row>
    <row r="159" spans="1:1" x14ac:dyDescent="0.3">
      <c r="A159" s="30"/>
    </row>
    <row r="160" spans="1:1" x14ac:dyDescent="0.3">
      <c r="A160" s="30"/>
    </row>
    <row r="161" spans="1:1" x14ac:dyDescent="0.3">
      <c r="A161" s="30"/>
    </row>
    <row r="162" spans="1:1" x14ac:dyDescent="0.3">
      <c r="A162" s="30"/>
    </row>
    <row r="163" spans="1:1" x14ac:dyDescent="0.3">
      <c r="A163" s="30"/>
    </row>
    <row r="164" spans="1:1" x14ac:dyDescent="0.3">
      <c r="A164" s="30"/>
    </row>
    <row r="165" spans="1:1" x14ac:dyDescent="0.3">
      <c r="A165" s="30"/>
    </row>
    <row r="166" spans="1:1" x14ac:dyDescent="0.3">
      <c r="A166" s="30"/>
    </row>
    <row r="167" spans="1:1" x14ac:dyDescent="0.3">
      <c r="A167" s="30"/>
    </row>
    <row r="168" spans="1:1" x14ac:dyDescent="0.3">
      <c r="A168" s="30"/>
    </row>
    <row r="169" spans="1:1" x14ac:dyDescent="0.3">
      <c r="A169" s="30"/>
    </row>
    <row r="170" spans="1:1" x14ac:dyDescent="0.3">
      <c r="A170" s="30"/>
    </row>
    <row r="171" spans="1:1" x14ac:dyDescent="0.3">
      <c r="A171" s="30"/>
    </row>
    <row r="172" spans="1:1" x14ac:dyDescent="0.3">
      <c r="A172" s="30"/>
    </row>
    <row r="173" spans="1:1" x14ac:dyDescent="0.3">
      <c r="A173" s="30"/>
    </row>
    <row r="174" spans="1:1" x14ac:dyDescent="0.3">
      <c r="A174" s="30"/>
    </row>
    <row r="175" spans="1:1" x14ac:dyDescent="0.3">
      <c r="A175" s="30"/>
    </row>
    <row r="176" spans="1:1" x14ac:dyDescent="0.3">
      <c r="A176" s="30"/>
    </row>
    <row r="177" spans="1:1" x14ac:dyDescent="0.3">
      <c r="A177" s="30"/>
    </row>
    <row r="178" spans="1:1" x14ac:dyDescent="0.3">
      <c r="A178" s="30"/>
    </row>
    <row r="179" spans="1:1" x14ac:dyDescent="0.3">
      <c r="A179" s="30"/>
    </row>
    <row r="180" spans="1:1" x14ac:dyDescent="0.3">
      <c r="A180" s="30"/>
    </row>
    <row r="181" spans="1:1" x14ac:dyDescent="0.3">
      <c r="A181" s="30"/>
    </row>
    <row r="182" spans="1:1" x14ac:dyDescent="0.3">
      <c r="A182" s="30"/>
    </row>
    <row r="183" spans="1:1" x14ac:dyDescent="0.3">
      <c r="A183" s="30"/>
    </row>
    <row r="184" spans="1:1" x14ac:dyDescent="0.3">
      <c r="A184" s="30"/>
    </row>
    <row r="185" spans="1:1" x14ac:dyDescent="0.3">
      <c r="A185" s="30"/>
    </row>
    <row r="186" spans="1:1" x14ac:dyDescent="0.3">
      <c r="A186" s="30"/>
    </row>
    <row r="187" spans="1:1" x14ac:dyDescent="0.3">
      <c r="A187" s="30"/>
    </row>
    <row r="188" spans="1:1" x14ac:dyDescent="0.3">
      <c r="A188" s="30"/>
    </row>
    <row r="189" spans="1:1" x14ac:dyDescent="0.3">
      <c r="A189" s="30"/>
    </row>
    <row r="190" spans="1:1" x14ac:dyDescent="0.3">
      <c r="A190" s="30"/>
    </row>
    <row r="191" spans="1:1" x14ac:dyDescent="0.3">
      <c r="A191" s="30"/>
    </row>
    <row r="192" spans="1:1" x14ac:dyDescent="0.3">
      <c r="A192" s="30"/>
    </row>
    <row r="193" spans="1:1" x14ac:dyDescent="0.3">
      <c r="A193" s="30"/>
    </row>
    <row r="194" spans="1:1" x14ac:dyDescent="0.3">
      <c r="A194" s="30"/>
    </row>
    <row r="195" spans="1:1" x14ac:dyDescent="0.3">
      <c r="A195" s="30"/>
    </row>
    <row r="196" spans="1:1" x14ac:dyDescent="0.3">
      <c r="A196" s="30"/>
    </row>
    <row r="197" spans="1:1" x14ac:dyDescent="0.3">
      <c r="A197" s="30"/>
    </row>
    <row r="198" spans="1:1" x14ac:dyDescent="0.3">
      <c r="A198" s="30"/>
    </row>
    <row r="199" spans="1:1" x14ac:dyDescent="0.3">
      <c r="A199" s="30"/>
    </row>
    <row r="200" spans="1:1" x14ac:dyDescent="0.3">
      <c r="A200" s="30"/>
    </row>
    <row r="201" spans="1:1" x14ac:dyDescent="0.3">
      <c r="A201" s="30"/>
    </row>
    <row r="202" spans="1:1" x14ac:dyDescent="0.3">
      <c r="A202" s="30"/>
    </row>
    <row r="203" spans="1:1" x14ac:dyDescent="0.3">
      <c r="A203" s="30"/>
    </row>
    <row r="204" spans="1:1" x14ac:dyDescent="0.3">
      <c r="A204" s="30"/>
    </row>
    <row r="205" spans="1:1" x14ac:dyDescent="0.3">
      <c r="A205" s="30"/>
    </row>
    <row r="206" spans="1:1" x14ac:dyDescent="0.3">
      <c r="A206" s="30"/>
    </row>
    <row r="207" spans="1:1" x14ac:dyDescent="0.3">
      <c r="A207" s="30"/>
    </row>
    <row r="208" spans="1:1" x14ac:dyDescent="0.3">
      <c r="A208" s="30"/>
    </row>
    <row r="209" spans="1:1" x14ac:dyDescent="0.3">
      <c r="A209" s="30"/>
    </row>
    <row r="210" spans="1:1" x14ac:dyDescent="0.3">
      <c r="A210" s="30"/>
    </row>
    <row r="211" spans="1:1" x14ac:dyDescent="0.3">
      <c r="A211" s="30"/>
    </row>
    <row r="212" spans="1:1" x14ac:dyDescent="0.3">
      <c r="A212" s="30"/>
    </row>
    <row r="213" spans="1:1" x14ac:dyDescent="0.3">
      <c r="A213" s="30"/>
    </row>
    <row r="214" spans="1:1" x14ac:dyDescent="0.3">
      <c r="A214" s="30"/>
    </row>
    <row r="215" spans="1:1" x14ac:dyDescent="0.3">
      <c r="A215" s="30"/>
    </row>
    <row r="216" spans="1:1" x14ac:dyDescent="0.3">
      <c r="A216" s="30"/>
    </row>
    <row r="217" spans="1:1" x14ac:dyDescent="0.3">
      <c r="A217" s="30"/>
    </row>
    <row r="218" spans="1:1" x14ac:dyDescent="0.3">
      <c r="A218" s="30"/>
    </row>
    <row r="219" spans="1:1" x14ac:dyDescent="0.3">
      <c r="A219" s="30"/>
    </row>
    <row r="220" spans="1:1" x14ac:dyDescent="0.3">
      <c r="A220" s="30"/>
    </row>
    <row r="221" spans="1:1" x14ac:dyDescent="0.3">
      <c r="A221" s="30"/>
    </row>
    <row r="222" spans="1:1" x14ac:dyDescent="0.3">
      <c r="A222" s="30"/>
    </row>
    <row r="223" spans="1:1" x14ac:dyDescent="0.3">
      <c r="A223" s="30"/>
    </row>
    <row r="224" spans="1:1" x14ac:dyDescent="0.3">
      <c r="A224" s="30"/>
    </row>
    <row r="225" spans="1:1" x14ac:dyDescent="0.3">
      <c r="A225" s="30"/>
    </row>
    <row r="226" spans="1:1" x14ac:dyDescent="0.3">
      <c r="A226" s="30"/>
    </row>
    <row r="227" spans="1:1" x14ac:dyDescent="0.3">
      <c r="A227" s="30"/>
    </row>
    <row r="228" spans="1:1" x14ac:dyDescent="0.3">
      <c r="A228" s="30"/>
    </row>
    <row r="229" spans="1:1" x14ac:dyDescent="0.3">
      <c r="A229" s="30"/>
    </row>
    <row r="230" spans="1:1" x14ac:dyDescent="0.3">
      <c r="A230" s="30"/>
    </row>
    <row r="231" spans="1:1" x14ac:dyDescent="0.3">
      <c r="A231" s="30"/>
    </row>
    <row r="232" spans="1:1" x14ac:dyDescent="0.3">
      <c r="A232" s="30"/>
    </row>
    <row r="233" spans="1:1" x14ac:dyDescent="0.3">
      <c r="A233" s="30"/>
    </row>
    <row r="234" spans="1:1" x14ac:dyDescent="0.3">
      <c r="A234" s="30"/>
    </row>
    <row r="235" spans="1:1" x14ac:dyDescent="0.3">
      <c r="A235" s="30"/>
    </row>
    <row r="236" spans="1:1" x14ac:dyDescent="0.3">
      <c r="A236" s="30"/>
    </row>
    <row r="237" spans="1:1" x14ac:dyDescent="0.3">
      <c r="A237" s="30"/>
    </row>
    <row r="238" spans="1:1" x14ac:dyDescent="0.3">
      <c r="A238" s="30"/>
    </row>
    <row r="239" spans="1:1" x14ac:dyDescent="0.3">
      <c r="A239" s="30"/>
    </row>
    <row r="240" spans="1:1" x14ac:dyDescent="0.3">
      <c r="A240" s="30"/>
    </row>
    <row r="241" spans="1:1" x14ac:dyDescent="0.3">
      <c r="A241" s="30"/>
    </row>
    <row r="242" spans="1:1" x14ac:dyDescent="0.3">
      <c r="A242" s="30"/>
    </row>
    <row r="243" spans="1:1" x14ac:dyDescent="0.3">
      <c r="A243" s="30"/>
    </row>
    <row r="244" spans="1:1" x14ac:dyDescent="0.3">
      <c r="A244" s="30"/>
    </row>
    <row r="245" spans="1:1" x14ac:dyDescent="0.3">
      <c r="A245" s="30"/>
    </row>
    <row r="246" spans="1:1" x14ac:dyDescent="0.3">
      <c r="A246" s="30"/>
    </row>
    <row r="247" spans="1:1" x14ac:dyDescent="0.3">
      <c r="A247" s="30"/>
    </row>
    <row r="248" spans="1:1" x14ac:dyDescent="0.3">
      <c r="A248" s="30"/>
    </row>
    <row r="249" spans="1:1" x14ac:dyDescent="0.3">
      <c r="A249" s="30"/>
    </row>
    <row r="250" spans="1:1" x14ac:dyDescent="0.3">
      <c r="A250" s="30"/>
    </row>
    <row r="251" spans="1:1" x14ac:dyDescent="0.3">
      <c r="A251" s="30"/>
    </row>
    <row r="252" spans="1:1" x14ac:dyDescent="0.3">
      <c r="A252" s="30"/>
    </row>
    <row r="253" spans="1:1" x14ac:dyDescent="0.3">
      <c r="A253" s="30"/>
    </row>
    <row r="254" spans="1:1" x14ac:dyDescent="0.3">
      <c r="A254" s="30"/>
    </row>
    <row r="255" spans="1:1" x14ac:dyDescent="0.3">
      <c r="A255" s="30"/>
    </row>
    <row r="256" spans="1:1" x14ac:dyDescent="0.3">
      <c r="A256" s="30"/>
    </row>
    <row r="257" spans="1:1" x14ac:dyDescent="0.3">
      <c r="A257" s="30"/>
    </row>
    <row r="258" spans="1:1" x14ac:dyDescent="0.3">
      <c r="A258" s="30"/>
    </row>
    <row r="259" spans="1:1" x14ac:dyDescent="0.3">
      <c r="A259" s="30"/>
    </row>
    <row r="260" spans="1:1" x14ac:dyDescent="0.3">
      <c r="A260" s="30"/>
    </row>
    <row r="261" spans="1:1" x14ac:dyDescent="0.3">
      <c r="A261" s="30"/>
    </row>
    <row r="262" spans="1:1" x14ac:dyDescent="0.3">
      <c r="A262" s="30"/>
    </row>
    <row r="263" spans="1:1" x14ac:dyDescent="0.3">
      <c r="A263" s="30"/>
    </row>
    <row r="264" spans="1:1" x14ac:dyDescent="0.3">
      <c r="A264" s="30"/>
    </row>
    <row r="265" spans="1:1" x14ac:dyDescent="0.3">
      <c r="A265" s="30"/>
    </row>
    <row r="266" spans="1:1" x14ac:dyDescent="0.3">
      <c r="A266" s="30"/>
    </row>
    <row r="267" spans="1:1" x14ac:dyDescent="0.3">
      <c r="A267" s="30"/>
    </row>
    <row r="268" spans="1:1" x14ac:dyDescent="0.3">
      <c r="A268" s="30"/>
    </row>
    <row r="269" spans="1:1" x14ac:dyDescent="0.3">
      <c r="A269" s="30"/>
    </row>
    <row r="270" spans="1:1" x14ac:dyDescent="0.3">
      <c r="A270" s="30"/>
    </row>
    <row r="271" spans="1:1" x14ac:dyDescent="0.3">
      <c r="A271" s="30"/>
    </row>
    <row r="272" spans="1:1" x14ac:dyDescent="0.3">
      <c r="A272" s="30"/>
    </row>
    <row r="273" spans="1:1" x14ac:dyDescent="0.3">
      <c r="A273" s="30"/>
    </row>
    <row r="274" spans="1:1" x14ac:dyDescent="0.3">
      <c r="A274" s="30"/>
    </row>
    <row r="275" spans="1:1" x14ac:dyDescent="0.3">
      <c r="A275" s="30"/>
    </row>
    <row r="276" spans="1:1" x14ac:dyDescent="0.3">
      <c r="A276" s="30"/>
    </row>
    <row r="277" spans="1:1" x14ac:dyDescent="0.3">
      <c r="A277" s="30"/>
    </row>
  </sheetData>
  <mergeCells count="3">
    <mergeCell ref="A1:D1"/>
    <mergeCell ref="A2:D2"/>
    <mergeCell ref="A3:D3"/>
  </mergeCells>
  <pageMargins left="0.70866141732283472" right="0.70866141732283472" top="0.74803149606299213" bottom="0.74803149606299213" header="0.31496062992125984" footer="0.31496062992125984"/>
  <pageSetup paperSize="9" scale="88" orientation="portrait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DCA2C-2E85-408C-A144-68EBF48DDCF6}">
  <sheetPr codeName="Sheet9">
    <pageSetUpPr fitToPage="1"/>
  </sheetPr>
  <dimension ref="A1:V35"/>
  <sheetViews>
    <sheetView topLeftCell="A5" zoomScale="90" zoomScaleNormal="90" workbookViewId="0">
      <selection activeCell="D25" sqref="D25"/>
    </sheetView>
  </sheetViews>
  <sheetFormatPr defaultColWidth="9.140625" defaultRowHeight="14.25" x14ac:dyDescent="0.2"/>
  <cols>
    <col min="1" max="1" width="10.85546875" style="296" customWidth="1"/>
    <col min="2" max="2" width="9.140625" style="296"/>
    <col min="3" max="3" width="32.5703125" style="296" customWidth="1"/>
    <col min="4" max="4" width="9.140625" style="296"/>
    <col min="5" max="5" width="3.28515625" style="296" customWidth="1"/>
    <col min="6" max="6" width="9.140625" style="296"/>
    <col min="7" max="7" width="10.140625" style="296" customWidth="1"/>
    <col min="8" max="8" width="9.5703125" style="296" customWidth="1"/>
    <col min="9" max="11" width="9.140625" style="296" hidden="1" customWidth="1"/>
    <col min="12" max="12" width="13.28515625" style="296" customWidth="1"/>
    <col min="13" max="13" width="50.42578125" style="295" bestFit="1" customWidth="1"/>
    <col min="14" max="14" width="86" style="296" bestFit="1" customWidth="1"/>
    <col min="15" max="16384" width="9.140625" style="296"/>
  </cols>
  <sheetData>
    <row r="1" spans="1:14" ht="18" x14ac:dyDescent="0.2">
      <c r="A1" s="440" t="s">
        <v>237</v>
      </c>
      <c r="B1" s="441"/>
      <c r="C1" s="441"/>
      <c r="D1" s="441"/>
      <c r="E1" s="441"/>
      <c r="F1" s="441"/>
      <c r="G1" s="441"/>
      <c r="H1" s="441"/>
      <c r="I1" s="441"/>
      <c r="J1" s="441"/>
      <c r="K1" s="441"/>
      <c r="L1" s="294"/>
    </row>
    <row r="2" spans="1:14" ht="15.75" x14ac:dyDescent="0.2">
      <c r="A2" s="297" t="s">
        <v>238</v>
      </c>
      <c r="B2" s="293"/>
      <c r="C2" s="298"/>
      <c r="D2" s="293"/>
      <c r="E2" s="293"/>
      <c r="F2" s="293"/>
      <c r="G2" s="293"/>
      <c r="H2" s="293"/>
      <c r="I2" s="293"/>
      <c r="J2" s="293"/>
      <c r="K2" s="293"/>
      <c r="L2" s="294"/>
    </row>
    <row r="3" spans="1:14" ht="15.75" x14ac:dyDescent="0.2">
      <c r="A3" s="297" t="s">
        <v>239</v>
      </c>
      <c r="C3" s="299"/>
      <c r="L3" s="294"/>
    </row>
    <row r="4" spans="1:14" x14ac:dyDescent="0.2">
      <c r="A4" s="300" t="s">
        <v>240</v>
      </c>
    </row>
    <row r="5" spans="1:14" ht="98.25" customHeight="1" x14ac:dyDescent="0.2">
      <c r="A5" s="442" t="s">
        <v>241</v>
      </c>
      <c r="B5" s="443"/>
      <c r="C5" s="443"/>
      <c r="D5" s="443"/>
      <c r="E5" s="443"/>
      <c r="F5" s="443"/>
      <c r="G5" s="443"/>
      <c r="H5" s="443"/>
    </row>
    <row r="6" spans="1:14" x14ac:dyDescent="0.2">
      <c r="A6" s="301"/>
    </row>
    <row r="7" spans="1:14" ht="15" x14ac:dyDescent="0.25">
      <c r="A7" s="301"/>
      <c r="D7" s="302"/>
      <c r="F7" s="302"/>
      <c r="N7" s="303"/>
    </row>
    <row r="8" spans="1:14" ht="44.25" x14ac:dyDescent="0.25">
      <c r="D8" s="304" t="s">
        <v>83</v>
      </c>
      <c r="E8" s="303"/>
      <c r="F8" s="304" t="s">
        <v>150</v>
      </c>
      <c r="G8" s="304" t="s">
        <v>242</v>
      </c>
      <c r="H8" s="304" t="s">
        <v>242</v>
      </c>
      <c r="I8" s="304"/>
      <c r="J8" s="304"/>
      <c r="K8" s="304"/>
      <c r="L8" s="305" t="s">
        <v>243</v>
      </c>
      <c r="M8" s="306" t="s">
        <v>244</v>
      </c>
      <c r="N8" s="307" t="s">
        <v>245</v>
      </c>
    </row>
    <row r="9" spans="1:14" ht="15" x14ac:dyDescent="0.25">
      <c r="D9" s="304" t="s">
        <v>36</v>
      </c>
      <c r="E9" s="303"/>
      <c r="F9" s="304" t="s">
        <v>36</v>
      </c>
      <c r="G9" s="304" t="s">
        <v>36</v>
      </c>
      <c r="H9" s="304" t="s">
        <v>246</v>
      </c>
      <c r="I9" s="304"/>
      <c r="J9" s="304"/>
      <c r="K9" s="303"/>
      <c r="L9" s="303"/>
      <c r="N9" s="295"/>
    </row>
    <row r="10" spans="1:14" ht="15" thickBot="1" x14ac:dyDescent="0.25">
      <c r="D10" s="302"/>
      <c r="E10" s="302"/>
      <c r="N10" s="295"/>
    </row>
    <row r="11" spans="1:14" ht="43.5" thickBot="1" x14ac:dyDescent="0.25">
      <c r="A11" s="441" t="s">
        <v>247</v>
      </c>
      <c r="B11" s="441"/>
      <c r="C11" s="441"/>
      <c r="D11" s="308">
        <v>29267</v>
      </c>
      <c r="F11" s="308">
        <v>25913</v>
      </c>
      <c r="G11" s="309"/>
      <c r="M11" s="306" t="str">
        <f>IF(F11=D23,"Explanation of % variance from PY opening balance not required - Balance brought forward agrees","Explanation of % variance from PY opening balance not required - Balance brought forward does not agree, query this")</f>
        <v>Explanation of % variance from PY opening balance not required - Balance brought forward does not agree, query this</v>
      </c>
      <c r="N11" s="310"/>
    </row>
    <row r="12" spans="1:14" ht="15" thickBot="1" x14ac:dyDescent="0.25">
      <c r="D12" s="309"/>
      <c r="F12" s="309"/>
      <c r="N12" s="295"/>
    </row>
    <row r="13" spans="1:14" ht="15" thickBot="1" x14ac:dyDescent="0.25">
      <c r="A13" s="444" t="s">
        <v>248</v>
      </c>
      <c r="B13" s="445"/>
      <c r="C13" s="446"/>
      <c r="D13" s="308">
        <v>11100</v>
      </c>
      <c r="F13" s="308">
        <f>SUM('2024-25 Running'!I6)</f>
        <v>12500</v>
      </c>
      <c r="G13" s="309">
        <f>F13-D13</f>
        <v>1400</v>
      </c>
      <c r="H13" s="311">
        <f>IF((D13&gt;F13),(D13-F13)/D13,IF(D13&lt;F13,-(D13-F13)/D13,IF(D13=F13,0)))</f>
        <v>0.12612612612612611</v>
      </c>
      <c r="I13" s="296">
        <f>IF(D13-F13&lt;200,0,IF(D13-F13&gt;200,1,IF(D13-F13=200,1)))</f>
        <v>0</v>
      </c>
      <c r="J13" s="296">
        <f>IF(F13-D13&lt;200,0,IF(F13-D13&gt;200,1,IF(F13-D13=200,1)))</f>
        <v>1</v>
      </c>
      <c r="K13" s="302">
        <f>IF(H13&lt;0.15,0,IF(H13&gt;0.15,1,IF(H13=0.15,1)))</f>
        <v>0</v>
      </c>
      <c r="L13" s="302" t="str">
        <f>IF((H13&lt;15%)*AND(G13&lt;100000)*OR(G13&gt;-100000), "NO","YES")</f>
        <v>NO</v>
      </c>
      <c r="M13" s="306" t="str">
        <f>IF((L13="YES")*AND(I13+J13&lt;1),"Explanation not required, difference less than £200"," ")</f>
        <v xml:space="preserve"> </v>
      </c>
      <c r="N13" s="310"/>
    </row>
    <row r="14" spans="1:14" ht="15" thickBot="1" x14ac:dyDescent="0.25">
      <c r="D14" s="309"/>
      <c r="F14" s="309"/>
      <c r="G14" s="309"/>
      <c r="H14" s="311"/>
      <c r="K14" s="302"/>
      <c r="L14" s="302"/>
      <c r="N14" s="295"/>
    </row>
    <row r="15" spans="1:14" ht="15" thickBot="1" x14ac:dyDescent="0.25">
      <c r="A15" s="439" t="s">
        <v>249</v>
      </c>
      <c r="B15" s="439"/>
      <c r="C15" s="439"/>
      <c r="D15" s="308">
        <v>19970</v>
      </c>
      <c r="F15" s="308">
        <f>SUM('Bank Account'!AZ176)+Reserves!Q19</f>
        <v>13220.060000000001</v>
      </c>
      <c r="G15" s="309">
        <f>F15-D15</f>
        <v>-6749.9399999999987</v>
      </c>
      <c r="H15" s="311">
        <f>IF((D15&gt;F15),(D15-F15)/D15,IF(D15&lt;F15,-(D15-F15)/D15,IF(D15=F15,0)))</f>
        <v>0.33800400600901348</v>
      </c>
      <c r="I15" s="296">
        <f>IF(D15-F15&lt;200,0,IF(D15-F15&gt;200,1,IF(D15-F15=200,1)))</f>
        <v>1</v>
      </c>
      <c r="J15" s="296">
        <f>IF(F15-D15&lt;200,0,IF(F15-D15&gt;200,1,IF(F15-D15=200,1)))</f>
        <v>0</v>
      </c>
      <c r="K15" s="302">
        <f>IF(H15&lt;0.15,0,IF(H15&gt;0.15,1,IF(H15=0.15,1)))</f>
        <v>1</v>
      </c>
      <c r="L15" s="302" t="str">
        <f>IF((H15&lt;15%)*AND(G15&lt;100000)*OR(G15&gt;-100000), "NO","YES")</f>
        <v>YES</v>
      </c>
      <c r="M15" s="306" t="str">
        <f>IF((L15="YES")*AND(I15+J15&lt;1),"Explanation not required, difference less than £200"," ")</f>
        <v xml:space="preserve"> </v>
      </c>
      <c r="N15" s="313"/>
    </row>
    <row r="16" spans="1:14" ht="15" thickBot="1" x14ac:dyDescent="0.25">
      <c r="D16" s="309"/>
      <c r="F16" s="309"/>
      <c r="G16" s="309"/>
      <c r="H16" s="311"/>
      <c r="K16" s="302"/>
      <c r="L16" s="302"/>
      <c r="N16" s="295"/>
    </row>
    <row r="17" spans="1:22" ht="15" thickBot="1" x14ac:dyDescent="0.25">
      <c r="A17" s="439" t="s">
        <v>250</v>
      </c>
      <c r="B17" s="439"/>
      <c r="C17" s="439"/>
      <c r="D17" s="308">
        <v>7496</v>
      </c>
      <c r="F17" s="308">
        <f>SUM('Bank Account'!O175)</f>
        <v>5335.9400000000005</v>
      </c>
      <c r="G17" s="309">
        <f>F17-D17</f>
        <v>-2160.0599999999995</v>
      </c>
      <c r="H17" s="311">
        <f>IF((D17&gt;F17),(D17-F17)/D17,IF(D17&lt;F17,-(D17-F17)/D17,IF(D17=F17,0)))</f>
        <v>0.28816168623265737</v>
      </c>
      <c r="I17" s="296">
        <f>IF(D17-F17&lt;200,0,IF(D17-F17&gt;200,1,IF(D17-F17=200,1)))</f>
        <v>1</v>
      </c>
      <c r="J17" s="296">
        <f>IF(F17-D17&lt;200,0,IF(F17-D17&gt;200,1,IF(F17-D17=200,1)))</f>
        <v>0</v>
      </c>
      <c r="K17" s="302">
        <f>IF(H17&lt;0.15,0,IF(H17&gt;0.15,1,IF(H17=0.15,1)))</f>
        <v>1</v>
      </c>
      <c r="L17" s="302" t="str">
        <f>IF((H17&lt;15%)*AND(G17&lt;100000)*OR(G17&gt;-100000), "NO","YES")</f>
        <v>YES</v>
      </c>
      <c r="M17" s="306" t="str">
        <f>IF((L17="YES")*AND(I17+J17&lt;1),"Explanation not required, difference less than £200"," ")</f>
        <v xml:space="preserve"> </v>
      </c>
      <c r="N17" s="310"/>
    </row>
    <row r="18" spans="1:22" ht="15" thickBot="1" x14ac:dyDescent="0.25">
      <c r="D18" s="309"/>
      <c r="F18" s="309"/>
      <c r="G18" s="309"/>
      <c r="H18" s="311"/>
      <c r="K18" s="302"/>
      <c r="L18" s="302"/>
      <c r="N18" s="295"/>
    </row>
    <row r="19" spans="1:22" ht="15" thickBot="1" x14ac:dyDescent="0.25">
      <c r="A19" s="439" t="s">
        <v>251</v>
      </c>
      <c r="B19" s="439"/>
      <c r="C19" s="439"/>
      <c r="D19" s="308">
        <v>0</v>
      </c>
      <c r="F19" s="308">
        <v>0</v>
      </c>
      <c r="G19" s="309">
        <f>F19-D19</f>
        <v>0</v>
      </c>
      <c r="H19" s="311">
        <f>IF((D19&gt;F19),(D19-F19)/D19,IF(D19&lt;F19,-(D19-F19)/D19,IF(D19=F19,0)))</f>
        <v>0</v>
      </c>
      <c r="I19" s="296">
        <f>IF(D19-F19&lt;200,0,IF(D19-F19&gt;200,1,IF(D19-F19=200,1)))</f>
        <v>0</v>
      </c>
      <c r="J19" s="296">
        <f>IF(F19-D19&lt;200,0,IF(F19-D19&gt;200,1,IF(F19-D19=200,1)))</f>
        <v>0</v>
      </c>
      <c r="K19" s="302">
        <f>IF(H19&lt;0.15,0,IF(H19&gt;0.15,1,IF(H19=0.15,1)))</f>
        <v>0</v>
      </c>
      <c r="L19" s="302" t="str">
        <f>IF((H19&lt;15%)*AND(G19&lt;100000)*OR(G19&gt;-100000), "NO","YES")</f>
        <v>NO</v>
      </c>
      <c r="M19" s="306" t="str">
        <f>IF((L19="YES")*AND(I19+J19&lt;1),"Explanation not required, difference less than £200"," ")</f>
        <v xml:space="preserve"> </v>
      </c>
      <c r="N19" s="310"/>
    </row>
    <row r="20" spans="1:22" ht="15" thickBot="1" x14ac:dyDescent="0.25">
      <c r="D20" s="309"/>
      <c r="F20" s="309"/>
      <c r="G20" s="309"/>
      <c r="H20" s="311"/>
      <c r="K20" s="302"/>
      <c r="L20" s="302"/>
      <c r="N20" s="295"/>
    </row>
    <row r="21" spans="1:22" ht="15" thickBot="1" x14ac:dyDescent="0.25">
      <c r="A21" s="439" t="s">
        <v>252</v>
      </c>
      <c r="B21" s="439"/>
      <c r="C21" s="439"/>
      <c r="D21" s="308">
        <v>26929</v>
      </c>
      <c r="F21" s="308">
        <f>SUM('Bank Account'!AN175)</f>
        <v>21370.35</v>
      </c>
      <c r="G21" s="309">
        <f>F21-D21</f>
        <v>-5558.6500000000015</v>
      </c>
      <c r="H21" s="311">
        <f>IF((D21&gt;F21),(D21-F21)/D21,IF(D21&lt;F21,-(D21-F21)/D21,IF(D21=F21,0)))</f>
        <v>0.2064187307363809</v>
      </c>
      <c r="I21" s="296">
        <f>IF(D21-F21&lt;200,0,IF(D21-F21&gt;200,1,IF(D21-F21=200,1)))</f>
        <v>1</v>
      </c>
      <c r="J21" s="296">
        <f>IF(F21-D21&lt;200,0,IF(F21-D21&gt;200,1,IF(F21-D21=200,1)))</f>
        <v>0</v>
      </c>
      <c r="K21" s="302">
        <f>IF(H21&lt;0.15,0,IF(H21&gt;0.15,1,IF(H21=0.15,1)))</f>
        <v>1</v>
      </c>
      <c r="L21" s="302" t="str">
        <f>IF((H21&lt;15%)*AND(G21&lt;100000)*OR(G21&gt;-100000), "NO","YES")</f>
        <v>YES</v>
      </c>
      <c r="M21" s="306" t="str">
        <f>IF((L21="YES")*AND(I21+J21&lt;1),"Explanation not required, difference less than £200"," ")</f>
        <v xml:space="preserve"> </v>
      </c>
      <c r="N21" s="310"/>
    </row>
    <row r="22" spans="1:22" ht="15" thickBot="1" x14ac:dyDescent="0.25">
      <c r="D22" s="309"/>
      <c r="F22" s="309"/>
      <c r="G22" s="309"/>
      <c r="H22" s="311"/>
      <c r="K22" s="302"/>
      <c r="L22" s="302"/>
      <c r="N22" s="295"/>
    </row>
    <row r="23" spans="1:22" ht="15" thickBot="1" x14ac:dyDescent="0.25">
      <c r="A23" s="312" t="s">
        <v>253</v>
      </c>
      <c r="D23" s="314">
        <f>D11+D13+D15-D17-D19-D21</f>
        <v>25912</v>
      </c>
      <c r="F23" s="314">
        <f>F11+F13+F15-F17-F19-F21</f>
        <v>24926.769999999997</v>
      </c>
      <c r="G23" s="309"/>
      <c r="H23" s="311"/>
      <c r="K23" s="302"/>
      <c r="L23" s="302"/>
      <c r="M23" s="315" t="s">
        <v>254</v>
      </c>
      <c r="N23" s="295"/>
    </row>
    <row r="24" spans="1:22" ht="15" thickBot="1" x14ac:dyDescent="0.25">
      <c r="D24" s="309"/>
      <c r="F24" s="309"/>
      <c r="G24" s="309"/>
      <c r="H24" s="311"/>
      <c r="K24" s="302"/>
      <c r="L24" s="302"/>
      <c r="N24" s="295"/>
    </row>
    <row r="25" spans="1:22" ht="15" thickBot="1" x14ac:dyDescent="0.25">
      <c r="A25" s="439" t="s">
        <v>255</v>
      </c>
      <c r="B25" s="439"/>
      <c r="C25" s="439"/>
      <c r="D25" s="308">
        <v>25913</v>
      </c>
      <c r="F25" s="308">
        <f>SUM(F23)</f>
        <v>24926.769999999997</v>
      </c>
      <c r="G25" s="309"/>
      <c r="H25" s="311"/>
      <c r="K25" s="302"/>
      <c r="L25" s="302"/>
      <c r="M25" s="315" t="s">
        <v>254</v>
      </c>
      <c r="N25" s="295"/>
    </row>
    <row r="26" spans="1:22" ht="15" thickBot="1" x14ac:dyDescent="0.25">
      <c r="D26" s="309"/>
      <c r="F26" s="309"/>
      <c r="G26" s="309"/>
      <c r="H26" s="311"/>
      <c r="K26" s="302"/>
      <c r="L26" s="302"/>
      <c r="N26" s="295"/>
    </row>
    <row r="27" spans="1:22" ht="15" thickBot="1" x14ac:dyDescent="0.25">
      <c r="A27" s="439" t="s">
        <v>256</v>
      </c>
      <c r="B27" s="439"/>
      <c r="C27" s="439"/>
      <c r="D27" s="308">
        <v>234243</v>
      </c>
      <c r="F27" s="308">
        <v>234243</v>
      </c>
      <c r="G27" s="309">
        <f>F27-D27</f>
        <v>0</v>
      </c>
      <c r="H27" s="311">
        <f>IF((D27&gt;F27),(D27-F27)/D27,IF(D27&lt;F27,-(D27-F27)/D27,IF(D27=F27,0)))</f>
        <v>0</v>
      </c>
      <c r="I27" s="296">
        <f>IF(D27-F27&lt;200,0,IF(D27-F27&gt;200,1,IF(D27-F27=200,1)))</f>
        <v>0</v>
      </c>
      <c r="J27" s="296">
        <f>IF(F27-D27&lt;200,0,IF(F27-D27&gt;200,1,IF(F27-D27=200,1)))</f>
        <v>0</v>
      </c>
      <c r="K27" s="302">
        <f>IF(H27&lt;0.15,0,IF(H27&gt;0.15,1,IF(H27=0.15,1)))</f>
        <v>0</v>
      </c>
      <c r="L27" s="302" t="str">
        <f>IF((H27&lt;15%)*AND(G27&lt;100000)*OR(G27&gt;-100000), "NO","YES")</f>
        <v>NO</v>
      </c>
      <c r="M27" s="306" t="str">
        <f>IF((L27="YES")*AND(I27+J27&lt;1),"Explanation not required, difference less than £200"," ")</f>
        <v xml:space="preserve"> </v>
      </c>
      <c r="N27" s="310"/>
    </row>
    <row r="28" spans="1:22" ht="15" thickBot="1" x14ac:dyDescent="0.25">
      <c r="D28" s="309"/>
      <c r="F28" s="309"/>
      <c r="G28" s="309"/>
      <c r="H28" s="311"/>
      <c r="K28" s="302"/>
      <c r="L28" s="302"/>
      <c r="N28" s="295"/>
    </row>
    <row r="29" spans="1:22" ht="15" thickBot="1" x14ac:dyDescent="0.25">
      <c r="A29" s="439" t="s">
        <v>257</v>
      </c>
      <c r="B29" s="439"/>
      <c r="C29" s="439"/>
      <c r="D29" s="308">
        <v>0</v>
      </c>
      <c r="F29" s="308">
        <v>0</v>
      </c>
      <c r="G29" s="309">
        <f>F29-D29</f>
        <v>0</v>
      </c>
      <c r="H29" s="311">
        <f>IF((D29&gt;F29),(D29-F29)/D29,IF(D29&lt;F29,-(D29-F29)/D29,IF(D29=F29,0)))</f>
        <v>0</v>
      </c>
      <c r="I29" s="296">
        <f>IF(D29-F29&lt;100,0,IF(D29-F29&gt;100,1,IF(D29-F29=100,1)))</f>
        <v>0</v>
      </c>
      <c r="J29" s="296">
        <f>IF(F29-D29&lt;100,0,IF(F29-D29&gt;100,1,IF(F29-D29=100,1)))</f>
        <v>0</v>
      </c>
      <c r="K29" s="302">
        <f>IF(H29&lt;0.15,0,IF(H29&gt;0.15,1,IF(H29=0.15,1)))</f>
        <v>0</v>
      </c>
      <c r="L29" s="302" t="str">
        <f>IF((H29&lt;15%)*AND(G29&lt;100000)*OR(G29&gt;-100000), "NO","YES")</f>
        <v>NO</v>
      </c>
      <c r="M29" s="306" t="str">
        <f>IF((L29="YES")*AND(I29+J29&lt;1),"Explanation not required, difference less than £200"," ")</f>
        <v xml:space="preserve"> </v>
      </c>
      <c r="N29" s="310"/>
    </row>
    <row r="30" spans="1:22" x14ac:dyDescent="0.2">
      <c r="H30" s="311"/>
      <c r="K30" s="302"/>
      <c r="L30" s="302"/>
      <c r="N30" s="295"/>
    </row>
    <row r="31" spans="1:22" ht="15" x14ac:dyDescent="0.25">
      <c r="C31" s="316" t="s">
        <v>258</v>
      </c>
    </row>
    <row r="32" spans="1:22" x14ac:dyDescent="0.2">
      <c r="O32" s="317"/>
      <c r="P32" s="317"/>
      <c r="Q32" s="317"/>
      <c r="R32" s="317"/>
      <c r="S32" s="317"/>
      <c r="T32" s="317"/>
      <c r="U32" s="317"/>
      <c r="V32" s="317"/>
    </row>
    <row r="33" spans="3:22" ht="15" x14ac:dyDescent="0.25">
      <c r="C33" s="316" t="s">
        <v>259</v>
      </c>
      <c r="N33" s="317"/>
      <c r="O33" s="317"/>
      <c r="P33" s="317"/>
      <c r="Q33" s="317"/>
      <c r="R33" s="317"/>
      <c r="S33" s="317"/>
      <c r="T33" s="317"/>
      <c r="U33" s="317"/>
      <c r="V33" s="317"/>
    </row>
    <row r="35" spans="3:22" ht="15" x14ac:dyDescent="0.25">
      <c r="C35" s="316" t="s">
        <v>260</v>
      </c>
    </row>
  </sheetData>
  <mergeCells count="11">
    <mergeCell ref="A17:C17"/>
    <mergeCell ref="A1:K1"/>
    <mergeCell ref="A5:H5"/>
    <mergeCell ref="A11:C11"/>
    <mergeCell ref="A13:C13"/>
    <mergeCell ref="A15:C15"/>
    <mergeCell ref="A19:C19"/>
    <mergeCell ref="A21:C21"/>
    <mergeCell ref="A25:C25"/>
    <mergeCell ref="A27:C27"/>
    <mergeCell ref="A29:C29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0"/>
  <dimension ref="A1:D17"/>
  <sheetViews>
    <sheetView workbookViewId="0">
      <selection activeCell="D25" sqref="D25"/>
    </sheetView>
  </sheetViews>
  <sheetFormatPr defaultRowHeight="15" x14ac:dyDescent="0.25"/>
  <cols>
    <col min="1" max="1" width="3" bestFit="1" customWidth="1"/>
    <col min="2" max="2" width="22.5703125" customWidth="1"/>
    <col min="3" max="3" width="12.5703125" customWidth="1"/>
    <col min="4" max="4" width="13.42578125" customWidth="1"/>
  </cols>
  <sheetData>
    <row r="1" spans="1:4" ht="30.75" customHeight="1" x14ac:dyDescent="0.25">
      <c r="A1" s="447" t="s">
        <v>173</v>
      </c>
      <c r="B1" s="447"/>
      <c r="C1" s="447"/>
      <c r="D1" s="447"/>
    </row>
    <row r="2" spans="1:4" x14ac:dyDescent="0.25">
      <c r="A2" s="32"/>
      <c r="B2" s="33"/>
      <c r="C2" s="448" t="s">
        <v>35</v>
      </c>
      <c r="D2" s="448"/>
    </row>
    <row r="3" spans="1:4" x14ac:dyDescent="0.25">
      <c r="A3" s="32"/>
      <c r="B3" s="33"/>
      <c r="C3" s="34">
        <v>45382</v>
      </c>
      <c r="D3" s="34">
        <v>45747</v>
      </c>
    </row>
    <row r="4" spans="1:4" x14ac:dyDescent="0.25">
      <c r="A4" s="35"/>
      <c r="B4" s="36"/>
      <c r="C4" s="37" t="s">
        <v>36</v>
      </c>
      <c r="D4" s="38" t="s">
        <v>36</v>
      </c>
    </row>
    <row r="5" spans="1:4" x14ac:dyDescent="0.25">
      <c r="A5" s="32">
        <v>1</v>
      </c>
      <c r="B5" s="33" t="s">
        <v>37</v>
      </c>
      <c r="C5" s="269">
        <v>29267</v>
      </c>
      <c r="D5" s="269">
        <f>SUM(C11)</f>
        <v>25912</v>
      </c>
    </row>
    <row r="6" spans="1:4" x14ac:dyDescent="0.25">
      <c r="A6" s="32">
        <v>2</v>
      </c>
      <c r="B6" s="33" t="s">
        <v>38</v>
      </c>
      <c r="C6" s="269">
        <v>11100</v>
      </c>
      <c r="D6" s="269">
        <f>SUM('Bank Account'!AR175)</f>
        <v>12500</v>
      </c>
    </row>
    <row r="7" spans="1:4" x14ac:dyDescent="0.25">
      <c r="A7" s="32">
        <v>3</v>
      </c>
      <c r="B7" s="33" t="s">
        <v>39</v>
      </c>
      <c r="C7" s="269">
        <v>19970</v>
      </c>
      <c r="D7" s="269">
        <f>SUM('Bank Account'!AZ176)+Reserves!Q19</f>
        <v>13220.060000000001</v>
      </c>
    </row>
    <row r="8" spans="1:4" x14ac:dyDescent="0.25">
      <c r="A8" s="32">
        <v>4</v>
      </c>
      <c r="B8" s="33" t="s">
        <v>40</v>
      </c>
      <c r="C8" s="269">
        <v>7496</v>
      </c>
      <c r="D8" s="269">
        <f>SUM('Bank Account'!O175)</f>
        <v>5335.9400000000005</v>
      </c>
    </row>
    <row r="9" spans="1:4" ht="26.25" x14ac:dyDescent="0.25">
      <c r="A9" s="32">
        <v>5</v>
      </c>
      <c r="B9" s="33" t="s">
        <v>41</v>
      </c>
      <c r="C9" s="269">
        <f>-C1015780</f>
        <v>0</v>
      </c>
      <c r="D9" s="269">
        <v>0</v>
      </c>
    </row>
    <row r="10" spans="1:4" x14ac:dyDescent="0.25">
      <c r="A10" s="32">
        <v>6</v>
      </c>
      <c r="B10" s="33" t="s">
        <v>42</v>
      </c>
      <c r="C10" s="269">
        <v>26929</v>
      </c>
      <c r="D10" s="269">
        <f>SUM('Bank Account'!AN175)</f>
        <v>21370.35</v>
      </c>
    </row>
    <row r="11" spans="1:4" ht="26.25" x14ac:dyDescent="0.25">
      <c r="A11" s="32">
        <v>7</v>
      </c>
      <c r="B11" s="33" t="s">
        <v>43</v>
      </c>
      <c r="C11" s="269">
        <f>C5+C6+C7-C8-C9-C10</f>
        <v>25912</v>
      </c>
      <c r="D11" s="269">
        <f>D5+D6+D7-D8-D9-D10</f>
        <v>24925.769999999997</v>
      </c>
    </row>
    <row r="12" spans="1:4" ht="26.25" x14ac:dyDescent="0.25">
      <c r="A12" s="32">
        <v>8</v>
      </c>
      <c r="B12" s="33" t="s">
        <v>44</v>
      </c>
      <c r="C12" s="269">
        <v>29267</v>
      </c>
      <c r="D12" s="269">
        <f>SUM('Bank Recon'!D33)</f>
        <v>23998.010000000006</v>
      </c>
    </row>
    <row r="13" spans="1:4" ht="39" x14ac:dyDescent="0.25">
      <c r="A13" s="32">
        <v>9</v>
      </c>
      <c r="B13" s="33" t="s">
        <v>45</v>
      </c>
      <c r="C13" s="269">
        <v>234243</v>
      </c>
      <c r="D13" s="269">
        <v>234243</v>
      </c>
    </row>
    <row r="14" spans="1:4" x14ac:dyDescent="0.25">
      <c r="A14" s="32">
        <v>10</v>
      </c>
      <c r="B14" s="33" t="s">
        <v>46</v>
      </c>
      <c r="C14" s="269">
        <v>0</v>
      </c>
      <c r="D14" s="269">
        <v>0</v>
      </c>
    </row>
    <row r="15" spans="1:4" ht="15.75" thickBot="1" x14ac:dyDescent="0.3">
      <c r="A15" s="39"/>
      <c r="B15" s="40"/>
      <c r="C15" s="40"/>
      <c r="D15" s="40"/>
    </row>
    <row r="16" spans="1:4" x14ac:dyDescent="0.25">
      <c r="A16" s="41"/>
      <c r="B16" s="41"/>
      <c r="C16" s="42"/>
      <c r="D16" s="43"/>
    </row>
    <row r="17" spans="1:4" x14ac:dyDescent="0.25">
      <c r="A17" s="41"/>
      <c r="B17" s="41"/>
      <c r="C17" s="44"/>
      <c r="D17" s="41"/>
    </row>
  </sheetData>
  <mergeCells count="2">
    <mergeCell ref="A1:D1"/>
    <mergeCell ref="C2:D2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6</vt:i4>
      </vt:variant>
    </vt:vector>
  </HeadingPairs>
  <TitlesOfParts>
    <vt:vector size="17" baseType="lpstr">
      <vt:lpstr>2024-25 Running</vt:lpstr>
      <vt:lpstr>Hall 2024-25 Running</vt:lpstr>
      <vt:lpstr>Ear Marked Funds</vt:lpstr>
      <vt:lpstr>Bank Account</vt:lpstr>
      <vt:lpstr>Reserves</vt:lpstr>
      <vt:lpstr>Bank Recon</vt:lpstr>
      <vt:lpstr>Year to Date</vt:lpstr>
      <vt:lpstr>Variances</vt:lpstr>
      <vt:lpstr>Annual Return</vt:lpstr>
      <vt:lpstr>Budget 2025-26</vt:lpstr>
      <vt:lpstr>Hall Budget 2025-26</vt:lpstr>
      <vt:lpstr>'2024-25 Running'!Print_Area</vt:lpstr>
      <vt:lpstr>'Bank Account'!Print_Area</vt:lpstr>
      <vt:lpstr>'Bank Recon'!Print_Area</vt:lpstr>
      <vt:lpstr>Reserves!Print_Area</vt:lpstr>
      <vt:lpstr>Variances!Print_Area</vt:lpstr>
      <vt:lpstr>'Year to Date'!Print_Area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Carle Petersen</dc:creator>
  <cp:lastModifiedBy>Charlotte Rust Parish Clerk</cp:lastModifiedBy>
  <cp:revision/>
  <cp:lastPrinted>2022-04-02T11:33:48Z</cp:lastPrinted>
  <dcterms:created xsi:type="dcterms:W3CDTF">2012-08-13T19:33:46Z</dcterms:created>
  <dcterms:modified xsi:type="dcterms:W3CDTF">2025-12-16T14:35:58Z</dcterms:modified>
</cp:coreProperties>
</file>